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5070" windowWidth="15120" windowHeight="2760" activeTab="0"/>
  </bookViews>
  <sheets>
    <sheet name="МСУ" sheetId="1" r:id="rId1"/>
  </sheets>
  <definedNames>
    <definedName name="_Otchet_Period_Source__AT_ObjectName">#REF!</definedName>
    <definedName name="_xlnm._FilterDatabase" localSheetId="0" hidden="1">'МСУ'!$E$1:$E$631</definedName>
    <definedName name="_xlnm.Print_Titles" localSheetId="0">'МСУ'!$5:$8</definedName>
    <definedName name="_xlnm.Print_Area" localSheetId="0">'МСУ'!$A$1:$M$519</definedName>
  </definedNames>
  <calcPr fullCalcOnLoad="1"/>
</workbook>
</file>

<file path=xl/sharedStrings.xml><?xml version="1.0" encoding="utf-8"?>
<sst xmlns="http://schemas.openxmlformats.org/spreadsheetml/2006/main" count="2276" uniqueCount="1003">
  <si>
    <t>Начальник управления</t>
  </si>
  <si>
    <t>(подпись)</t>
  </si>
  <si>
    <t>(расшифровка подписи)</t>
  </si>
  <si>
    <t>Кузнецова Л.П.</t>
  </si>
  <si>
    <t>УРИ</t>
  </si>
  <si>
    <t>0111</t>
  </si>
  <si>
    <t>870</t>
  </si>
  <si>
    <t xml:space="preserve">по нормативным правовым актам </t>
  </si>
  <si>
    <t>0412</t>
  </si>
  <si>
    <t>0113</t>
  </si>
  <si>
    <t>0409</t>
  </si>
  <si>
    <t>1003</t>
  </si>
  <si>
    <t>0709</t>
  </si>
  <si>
    <t>Нормативное правовое регулирование, определяющее финансовое обеспечение и порядок расходования средств</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</si>
  <si>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</si>
  <si>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</si>
  <si>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</si>
  <si>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гр.1</t>
  </si>
  <si>
    <t>гр.2</t>
  </si>
  <si>
    <t>гр.3</t>
  </si>
  <si>
    <t>гр.4</t>
  </si>
  <si>
    <t>гр.5</t>
  </si>
  <si>
    <t>гр.6</t>
  </si>
  <si>
    <t>гр.7</t>
  </si>
  <si>
    <t>гр.8</t>
  </si>
  <si>
    <t>гр.9</t>
  </si>
  <si>
    <t>гр.10</t>
  </si>
  <si>
    <t>гр.11</t>
  </si>
  <si>
    <t>гр.12</t>
  </si>
  <si>
    <t>Наименование главного распорядителя бюджетных средств</t>
  </si>
  <si>
    <t>Объем средств на исполнение расходного обязательства (тыс.рублей)</t>
  </si>
  <si>
    <t xml:space="preserve">финансовый год +1 </t>
  </si>
  <si>
    <t xml:space="preserve">финансовый год +2 </t>
  </si>
  <si>
    <t xml:space="preserve">Наименование полномочия расходного обязательства </t>
  </si>
  <si>
    <t>Код  бюджетной классификации (Раздел, Подраздел)</t>
  </si>
  <si>
    <t>Код  бюджетной классификации (Код вида расходов)</t>
  </si>
  <si>
    <t>Код  бюджетной классификации (Код целевой статьи расходов)</t>
  </si>
  <si>
    <t>120</t>
  </si>
  <si>
    <t>240</t>
  </si>
  <si>
    <t>850</t>
  </si>
  <si>
    <t>810</t>
  </si>
  <si>
    <t>0405</t>
  </si>
  <si>
    <t>610</t>
  </si>
  <si>
    <t>0707</t>
  </si>
  <si>
    <t>п.3</t>
  </si>
  <si>
    <t>первоначальный план</t>
  </si>
  <si>
    <t>0408</t>
  </si>
  <si>
    <t>Повышение безопасности дорожных условий автомобильных дорог</t>
  </si>
  <si>
    <t>Снижение рисков и смягчение последствий ЧС природного и техногенного характера</t>
  </si>
  <si>
    <t>Подпрограмма "Создание условий для занятий физической культурой и спортом лиц с ограниченными возможностями здоровья"</t>
  </si>
  <si>
    <t>630</t>
  </si>
  <si>
    <t>0500000000</t>
  </si>
  <si>
    <t>0800000000</t>
  </si>
  <si>
    <t>0700000000</t>
  </si>
  <si>
    <t>0710000000</t>
  </si>
  <si>
    <t>0720000000</t>
  </si>
  <si>
    <t>0730000000</t>
  </si>
  <si>
    <t>Обеспечение проведения физкультурно-массовых и спортивных мероприятий для лиц с ограниченными возможностями</t>
  </si>
  <si>
    <t>Участие команд и отдельных спортсменов с ограниченными возможностями здоровья в краевых, всероссийских и международных соревнованиях</t>
  </si>
  <si>
    <t>0100000000</t>
  </si>
  <si>
    <t>0200000000</t>
  </si>
  <si>
    <t>0300000000</t>
  </si>
  <si>
    <t>0610000000</t>
  </si>
  <si>
    <t>0620000000</t>
  </si>
  <si>
    <t>0600000000</t>
  </si>
  <si>
    <t>2100000000</t>
  </si>
  <si>
    <t>Развитие кадрового потенциала в сельском хозяйсве</t>
  </si>
  <si>
    <t>1000000000</t>
  </si>
  <si>
    <t>1010000000</t>
  </si>
  <si>
    <t>1020000000</t>
  </si>
  <si>
    <t>0702</t>
  </si>
  <si>
    <t>0400000000</t>
  </si>
  <si>
    <t>0701</t>
  </si>
  <si>
    <t>Компенсация за жилье детям, проживающим в сельской местности и обучающимся на 3-й ступени обучения</t>
  </si>
  <si>
    <t>Подпрограмма "Дополнительное образование и воспитание детей"</t>
  </si>
  <si>
    <t>Совершенствование работы с одаренными детьми</t>
  </si>
  <si>
    <t>Обеспечение бесперебойного функционирования зданий (сооружений) муниципальных организаций</t>
  </si>
  <si>
    <t xml:space="preserve">Обновление книжных фондов. Обеспечение модельного стандарта библиотеки </t>
  </si>
  <si>
    <t>0801</t>
  </si>
  <si>
    <t>Организация отдыха детей в каникулярное время</t>
  </si>
  <si>
    <t>0630000000</t>
  </si>
  <si>
    <t>0430000000</t>
  </si>
  <si>
    <t>0420000000</t>
  </si>
  <si>
    <t>0410000000</t>
  </si>
  <si>
    <t>п.2</t>
  </si>
  <si>
    <t xml:space="preserve">Информирование населения о деятельности органов местного самоуправления посредством радио, телевидения, печатных изданий </t>
  </si>
  <si>
    <t>0703</t>
  </si>
  <si>
    <t>Информирование населения об организации перевозок пассажиров автомобильным транспортом</t>
  </si>
  <si>
    <t>Информационное и организационное сопровождение сельскохозяйственных товаропроизводителей</t>
  </si>
  <si>
    <t>1001</t>
  </si>
  <si>
    <t>310</t>
  </si>
  <si>
    <t>0314</t>
  </si>
  <si>
    <t>статья 5</t>
  </si>
  <si>
    <t>Реализациия основных общеобразовательных программ основного общего образования</t>
  </si>
  <si>
    <t>Присмотр и уход (город)</t>
  </si>
  <si>
    <t>Присмотр и уход (село)</t>
  </si>
  <si>
    <t>Здоровьесбережение работников сферы образования как условие качества обучения</t>
  </si>
  <si>
    <t>Здоровьесбережение работников сферы искусств</t>
  </si>
  <si>
    <t>410</t>
  </si>
  <si>
    <t>Муниципальная программа "Совершенствование муниципальной службы в Осинском городском округе"</t>
  </si>
  <si>
    <t>0300200001</t>
  </si>
  <si>
    <t>Муниципальная программа "Улучшение гражданского единства и гармонизации межнациональных отношений на территории Осинского городского округа"</t>
  </si>
  <si>
    <t>1300100010</t>
  </si>
  <si>
    <t>Профилактика межэтнических конфликтов на территории округа</t>
  </si>
  <si>
    <t>Поддержание стабильной общественно-политической обстановки, общественных инициатив и целевых проектов общественных объединений, некоммерческих организаций, направленных на гармонизацию межнациональных отношений в округе</t>
  </si>
  <si>
    <t>1300100020</t>
  </si>
  <si>
    <t>1300100030</t>
  </si>
  <si>
    <t>Формирование позитивного имиджа округа, комфортного для проживания представителей любой национальности и конфессии</t>
  </si>
  <si>
    <t>2100000001</t>
  </si>
  <si>
    <t>0320100025</t>
  </si>
  <si>
    <t>Муниципальная программа «Обеспечение безопасности жизнедеятельности населения и территории Осинского городского округа»</t>
  </si>
  <si>
    <t xml:space="preserve">Организация и осуществление мероприятий по профилактике терроризма и экстремизма, гражданской и территориальной обороне </t>
  </si>
  <si>
    <t>Пенсионное обеспечение за выслугу лет</t>
  </si>
  <si>
    <t>2500</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</si>
  <si>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</si>
  <si>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</si>
  <si>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</si>
  <si>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</si>
  <si>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</si>
  <si>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</si>
  <si>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предоставление доплаты за выслугу лет к трудовой пенсии муниципальным служащим за счет средств местного бюджета</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</si>
  <si>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</si>
  <si>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2501</t>
  </si>
  <si>
    <t>2600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</si>
  <si>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</si>
  <si>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</si>
  <si>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3400</t>
  </si>
  <si>
    <t>3401</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</si>
  <si>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всего</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</si>
  <si>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t>
    </r>
    <r>
      <rPr>
        <b/>
        <sz val="11"/>
        <rFont val="Times New Roman"/>
        <family val="1"/>
      </rPr>
      <t>в городской местности</t>
    </r>
    <r>
      <rPr>
        <sz val="11"/>
        <rFont val="Times New Roman"/>
        <family val="1"/>
      </rPr>
      <t>)</t>
    </r>
  </si>
  <si>
    <t>Условно утвержденные расходы на первый и второй годы планового периода в соответствии с решением о местном бюджете</t>
  </si>
  <si>
    <t>3600</t>
  </si>
  <si>
    <t>владение, пользование и распоряжение имуществом, находящимся в муниципальной собственности городского округа</t>
  </si>
  <si>
    <t>2504</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</si>
  <si>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</si>
  <si>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</si>
  <si>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</si>
  <si>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</si>
  <si>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2517</t>
  </si>
  <si>
    <t>2522</t>
  </si>
  <si>
    <r>
      <t xml:space="preserve">организация предоставления общедоступного и бесплатного </t>
    </r>
    <r>
      <rPr>
        <b/>
        <sz val="11"/>
        <rFont val="Times New Roman"/>
        <family val="1"/>
      </rPr>
      <t xml:space="preserve">дошкольного образования </t>
    </r>
    <r>
      <rPr>
        <sz val="11"/>
        <rFont val="Times New Roman"/>
        <family val="1"/>
      </rPr>
      <t>(за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r>
  </si>
  <si>
    <t>2523</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</si>
  <si>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городской местности</t>
    </r>
    <r>
      <rPr>
        <sz val="11"/>
        <rFont val="Times New Roman"/>
        <family val="1"/>
      </rPr>
      <t>)</t>
    </r>
  </si>
  <si>
    <t>2524</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</si>
  <si>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сельской местности</t>
    </r>
    <r>
      <rPr>
        <sz val="11"/>
        <rFont val="Times New Roman"/>
        <family val="1"/>
      </rPr>
      <t>)</t>
    </r>
  </si>
  <si>
    <t>2525</t>
  </si>
  <si>
    <r>
      <t xml:space="preserve">организация предоставления </t>
    </r>
    <r>
      <rPr>
        <b/>
        <sz val="11"/>
        <rFont val="Times New Roman"/>
        <family val="1"/>
      </rPr>
      <t xml:space="preserve">дополнительного образования </t>
    </r>
    <r>
      <rPr>
        <sz val="11"/>
        <rFont val="Times New Roman"/>
        <family val="1"/>
      </rPr>
      <t>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r>
  </si>
  <si>
    <t>2526</t>
  </si>
  <si>
    <r>
      <t xml:space="preserve">осуществление в пределах своих полномочий мероприятий по обеспечению </t>
    </r>
    <r>
      <rPr>
        <b/>
        <sz val="11"/>
        <rFont val="Times New Roman"/>
        <family val="1"/>
      </rPr>
      <t>организации отдыха детей в каникулярное время</t>
    </r>
    <r>
      <rPr>
        <sz val="11"/>
        <rFont val="Times New Roman"/>
        <family val="1"/>
      </rPr>
      <t>, включая мероприятия по обеспечению безопасности их жизни и здоровья</t>
    </r>
  </si>
  <si>
    <t>2527</t>
  </si>
  <si>
    <r>
      <t xml:space="preserve">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t>
    </r>
    <r>
      <rPr>
        <b/>
        <sz val="11"/>
        <rFont val="Times New Roman"/>
        <family val="1"/>
      </rPr>
      <t>межшкольные учебные комбинаты,</t>
    </r>
    <r>
      <rPr>
        <sz val="11"/>
        <rFont val="Times New Roman"/>
        <family val="1"/>
      </rPr>
      <t xml:space="preserve"> хозяйственные эксплуатационные конторы и другие))</t>
    </r>
  </si>
  <si>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</si>
  <si>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</si>
  <si>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создание условий для организации досуга и обеспечения жителей городского округа услугами организаций культуры</t>
  </si>
  <si>
    <t>2531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</si>
  <si>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</si>
  <si>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</si>
  <si>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создание условий для расширения рынка сельскохозяйственной продукции, сырья и продовольствия</t>
  </si>
  <si>
    <t>2552</t>
  </si>
  <si>
    <t>содействие развитию малого и среднего предпринимательства</t>
  </si>
  <si>
    <t>2553</t>
  </si>
  <si>
    <t>обеспечение условий для развития на территории городского округа физической культуры, школьного спорта и массового спорта</t>
  </si>
  <si>
    <t>2534</t>
  </si>
  <si>
    <t>организация и осуществление мероприятий по работе с детьми и молодежью в городском округе</t>
  </si>
  <si>
    <t>2555</t>
  </si>
  <si>
    <t>Муниципальная программа "Эффективное управление земельными ресурсами и имуществом Осинского городского округа"</t>
  </si>
  <si>
    <t>1010100100</t>
  </si>
  <si>
    <t>содержание объектов, находящихся в муниципальной собственности Осинского городского округа</t>
  </si>
  <si>
    <t>1010100101</t>
  </si>
  <si>
    <t>01.01.2020-бессрочно</t>
  </si>
  <si>
    <t>110</t>
  </si>
  <si>
    <t>консультационное и технологическое сопровождение автоматизированной программы по управлению муниципальным имуществом</t>
  </si>
  <si>
    <t>1010100110</t>
  </si>
  <si>
    <t>Вовлечение земельных участков в хозяйственный оборот</t>
  </si>
  <si>
    <t>1020100100</t>
  </si>
  <si>
    <t>Увеличение доходов от предоставления земельных участков</t>
  </si>
  <si>
    <t>1020100200</t>
  </si>
  <si>
    <t>Подпрограмма "Совершенствование и развитие сети автомобильных дорог общего пользования местного значения в границах Осинского городского округа"</t>
  </si>
  <si>
    <t>Муниципальная программа "Развитие транспортной системы Осинского городского округа"</t>
  </si>
  <si>
    <t>Выполнение ремонта автомобильных дорог</t>
  </si>
  <si>
    <t xml:space="preserve">Подпрограмма "Повышение безопасности дорожного движения на автомобильных дорогах общего пользования местного значения в границах Осинского городского округа"                                                                                                                                                                               </t>
  </si>
  <si>
    <t>0620100010</t>
  </si>
  <si>
    <t>Подпрограмма "Транспортное сообщение в границах Осинского городского округа"</t>
  </si>
  <si>
    <t>Выполнение работ по перевозке пассажиров и багажа автомобильным транспортом (кроме такси) на маршрутах регулярных перевозок по регулируемым тарифам на территории Осинского городского округа</t>
  </si>
  <si>
    <t>0630100011</t>
  </si>
  <si>
    <t>0630100012</t>
  </si>
  <si>
    <t>2516</t>
  </si>
  <si>
    <t>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</si>
  <si>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</si>
  <si>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</si>
  <si>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</si>
  <si>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Подпрограмма "Развитие газификации Осинского городского округа"</t>
  </si>
  <si>
    <t>Муниципальная программа "Развитие инфраструктуры Осинского городского округа"</t>
  </si>
  <si>
    <t>0502</t>
  </si>
  <si>
    <t>Подпрограмма "Развитие системы водоснабжения и водоотведения Осинского городского округа"</t>
  </si>
  <si>
    <t>Подпрограмма "Развитие системы теплоснабжения Осинского городского округа"</t>
  </si>
  <si>
    <t>2538</t>
  </si>
  <si>
    <t>2539</t>
  </si>
  <si>
    <t>2541</t>
  </si>
  <si>
    <t>2542</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</si>
  <si>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</si>
  <si>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</si>
  <si>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</si>
  <si>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</si>
  <si>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Муниципальная программа "Благоустройство территории Осинского городского округа"</t>
  </si>
  <si>
    <t>0900000000</t>
  </si>
  <si>
    <t>Содержание мест общего пользования и тропиночной сети</t>
  </si>
  <si>
    <t>0900100010</t>
  </si>
  <si>
    <t>Выполнение благоустройства мест общего пользования</t>
  </si>
  <si>
    <t>0900100020</t>
  </si>
  <si>
    <t>0503</t>
  </si>
  <si>
    <t>Муниципальная программа "Формирование современной городской среды Осинского городского округа"</t>
  </si>
  <si>
    <t>1400000000</t>
  </si>
  <si>
    <t>Повышение уровня благоустройства общественных территорий Осинского городского округа</t>
  </si>
  <si>
    <t>Муниципальная программа "Обеспечение безопасности жизнедеятельности населения и территории Осинского городского округа"</t>
  </si>
  <si>
    <t>Муниципальная  программа "Экономическое развитие Осинского городского округа"</t>
  </si>
  <si>
    <t>Подпрограмма "Развитие малого и среднего предпринимательства"</t>
  </si>
  <si>
    <t>0110000000</t>
  </si>
  <si>
    <t>Подпрограмма "Развитие сельского хозяйства"</t>
  </si>
  <si>
    <t>0120000000</t>
  </si>
  <si>
    <t>Муниципальная программа "Развитие физической культуры, спорта и формирование здорового образа жизни в Осинском городском округе"</t>
  </si>
  <si>
    <t>Подпрограмма "Развитие физической культуры и  массового спорта"</t>
  </si>
  <si>
    <t>Приобщение различных слоев населения Осинского городского округа к регулярным занятиям физической культурой и спортом</t>
  </si>
  <si>
    <t>0710100010</t>
  </si>
  <si>
    <t>Подпрограмма "Развитие спортивной инфраструктуры для занятий физической культурой и спортом"</t>
  </si>
  <si>
    <t>0730100010</t>
  </si>
  <si>
    <t>0730100020</t>
  </si>
  <si>
    <t>Муниципальная программа «Молодежная  политика Осинского городского округа»</t>
  </si>
  <si>
    <t>Подпрограмма «Развитие молодежной политики в  Осинском  городском округе»</t>
  </si>
  <si>
    <t>0210000000</t>
  </si>
  <si>
    <t>Повышение правовой культуры и формирование активной жизненной позиции</t>
  </si>
  <si>
    <t>0210100010</t>
  </si>
  <si>
    <t>Стимулирование социально- активной молодежи, поддержка творческих инициатив, развитие разнообразных молодежных платформ (объединений)</t>
  </si>
  <si>
    <t>0210100020</t>
  </si>
  <si>
    <t xml:space="preserve">Предупреждение правонарушений среди молодежи и совершенствование системы профилактики. </t>
  </si>
  <si>
    <t>0210100030</t>
  </si>
  <si>
    <t xml:space="preserve">Подпрограмма "Патриотическое и духовно - нравственное  воспитание молодежи Осинского городского округа" </t>
  </si>
  <si>
    <t>0220000000</t>
  </si>
  <si>
    <t>Содействие  военно- патриотическому и духовно- нравственному воспитанию молодежи</t>
  </si>
  <si>
    <t>0220100010</t>
  </si>
  <si>
    <t>Развитие волонтерского движения в Осинском городском округе</t>
  </si>
  <si>
    <t>0220100020</t>
  </si>
  <si>
    <t>320</t>
  </si>
  <si>
    <t>Муниципальная программа "Культура Осинского городского округа"</t>
  </si>
  <si>
    <t>Предоставление услуги по организации библиотечного, библиографического и информационного обслуживания населения</t>
  </si>
  <si>
    <t>Организация и проведение мероприятий в сфере библиотечного обслуживания</t>
  </si>
  <si>
    <t>Развитие системы дополнительного образования в сфере культуры</t>
  </si>
  <si>
    <t>Организация и проведение мероприятий в области искуства</t>
  </si>
  <si>
    <t>Обеспечение населения услугами культурно-досуговых учреждений</t>
  </si>
  <si>
    <t>Организация деятельности клубных формирований и формирований самодеятельного народного творчества (оказание муниципальных услуг в сфере культуры)</t>
  </si>
  <si>
    <t>Реализация культурных мероприятий (фестивалей, конкурсов)</t>
  </si>
  <si>
    <t>Муниципальная программа "Развитие системы образования Осинского  городского округа"</t>
  </si>
  <si>
    <t xml:space="preserve">Подпрограмма "Общее образование и кадровая политика"  </t>
  </si>
  <si>
    <t>0410100011</t>
  </si>
  <si>
    <t>620</t>
  </si>
  <si>
    <t xml:space="preserve"> Подпрограмма "Приведение образовательных организаций Осинского городского округа в нормативное состояние"</t>
  </si>
  <si>
    <t>0430100020</t>
  </si>
  <si>
    <t>0420100011</t>
  </si>
  <si>
    <t>Реализация дополнительных общеразвивающих программ (МБУ ДО "ЦДТ")</t>
  </si>
  <si>
    <t>0420100012</t>
  </si>
  <si>
    <t>0420100020</t>
  </si>
  <si>
    <t>0420100030</t>
  </si>
  <si>
    <t>0420100040</t>
  </si>
  <si>
    <t>0420100050</t>
  </si>
  <si>
    <t>Творческое развитие и воспитание детей, молодежи</t>
  </si>
  <si>
    <t>Формирование у обучающихся социальных компетенций, гражданских установок, культуры здорового образа жизни</t>
  </si>
  <si>
    <t>Содействие профессиональному самоуправлению выпускников школ</t>
  </si>
  <si>
    <t>0410100027</t>
  </si>
  <si>
    <t>2100000003</t>
  </si>
  <si>
    <t>Обеспечение выполнения функций МКУ "Осинский центр бухгалтерского учета"</t>
  </si>
  <si>
    <t>Муниципальная программа "Совершенствование муниципальной службы в ОГО"</t>
  </si>
  <si>
    <t>Подпрограмма "Обеспечение реализации муниципальной программы"</t>
  </si>
  <si>
    <t>0320000000</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</si>
  <si>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</si>
  <si>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2520</t>
  </si>
  <si>
    <t>2515</t>
  </si>
  <si>
    <t>Поддержание мобилизационной готовности органов управления и организаций городского округа на уровне, гарантирующем их перевод на работу в условиях военного времени</t>
  </si>
  <si>
    <t>Муниципальная программа "Развитие системы образования Осинского городского округа"</t>
  </si>
  <si>
    <t>Подпрограмма "Общее образование и кадровая политика"</t>
  </si>
  <si>
    <t>0410100022</t>
  </si>
  <si>
    <t>в целом, в целом</t>
  </si>
  <si>
    <t>в целом</t>
  </si>
  <si>
    <t>0410100024</t>
  </si>
  <si>
    <t>0410100025</t>
  </si>
  <si>
    <t>0410100026</t>
  </si>
  <si>
    <t>Обеспечение бесплатным двухразовым питанием детей с ограниченными возможностями здоровья, обучающихся в общеобразовательных организациях</t>
  </si>
  <si>
    <t>0410100040</t>
  </si>
  <si>
    <t>Формирование у обучающихся культуры здорового образа жизни</t>
  </si>
  <si>
    <t>Подпрограмма "Приведение в нормативное состояние образовательных организаций"</t>
  </si>
  <si>
    <t>0410100021</t>
  </si>
  <si>
    <t>п.2.1.</t>
  </si>
  <si>
    <t>п.2.1</t>
  </si>
  <si>
    <t>п.2.2</t>
  </si>
  <si>
    <t>п.2.3</t>
  </si>
  <si>
    <t>2550</t>
  </si>
  <si>
    <t>2557</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</si>
  <si>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</si>
  <si>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0104</t>
  </si>
  <si>
    <t>25.10.2019-бессрочно</t>
  </si>
  <si>
    <t>0106</t>
  </si>
  <si>
    <t>Выплаты материального стимулирования народным дружинникам за участие в охране общественного порядка</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</si>
  <si>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(строительство распределительных газопроводов)</t>
  </si>
  <si>
    <t>Реализация программ развития преобразованных муниципальных образований (строительство распределительных газопроводов)</t>
  </si>
  <si>
    <t>11101SP040</t>
  </si>
  <si>
    <t>11101SP180</t>
  </si>
  <si>
    <t>Реализация программ развития преобразованных муниципальных образований (строительство, ремонт сетей водоснабжения)</t>
  </si>
  <si>
    <t>11201SP180</t>
  </si>
  <si>
    <t>06101ST040</t>
  </si>
  <si>
    <t>1400100020</t>
  </si>
  <si>
    <t>140F255552</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</si>
  <si>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общественных территорий)</t>
  </si>
  <si>
    <t>Реализация мероприятий, направленных на комплексное развитие сельских территорий (благоустройство сельских территорий)</t>
  </si>
  <si>
    <t>0410100042</t>
  </si>
  <si>
    <t>0410100030</t>
  </si>
  <si>
    <t>0410100041</t>
  </si>
  <si>
    <t>041012H040</t>
  </si>
  <si>
    <t>3403</t>
  </si>
  <si>
    <t>Реализация дополнительных предпрофессиональных программ в области искусств</t>
  </si>
  <si>
    <t>Реализация дополнительных общеразвивающих программ (вокал)</t>
  </si>
  <si>
    <t>1102</t>
  </si>
  <si>
    <t>07201SP180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</si>
  <si>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</si>
  <si>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04301SP040</t>
  </si>
  <si>
    <t>0410100012</t>
  </si>
  <si>
    <t>п.3; п.1.1</t>
  </si>
  <si>
    <t>в целом, в целом, в целом</t>
  </si>
  <si>
    <t>в целом; п.4.4</t>
  </si>
  <si>
    <t xml:space="preserve">в целом; п.4.4      </t>
  </si>
  <si>
    <t>в целом, п.4.4</t>
  </si>
  <si>
    <t>п.1, в целом, в целом</t>
  </si>
  <si>
    <t>0102</t>
  </si>
  <si>
    <t>Развитие системы профессиональной переподготовки и повышения квалификации муниципальных служащих</t>
  </si>
  <si>
    <t>0310100020</t>
  </si>
  <si>
    <t>Подпрограмма "Развитие муниципальной службы Осинского городского округа"</t>
  </si>
  <si>
    <t>0310000000</t>
  </si>
  <si>
    <t>Организация обслуживания зданий администрации Осинского городского округа</t>
  </si>
  <si>
    <t>0320100022</t>
  </si>
  <si>
    <t>0320100023</t>
  </si>
  <si>
    <t>Предоставление услуг доступа к сети телематических услуг</t>
  </si>
  <si>
    <t>0320100024</t>
  </si>
  <si>
    <t>0300100001</t>
  </si>
  <si>
    <t>Дума ОГО</t>
  </si>
  <si>
    <t>0103</t>
  </si>
  <si>
    <t>Обеспечение выполнения функций МКУ "Транспортник"</t>
  </si>
  <si>
    <t>2100000002</t>
  </si>
  <si>
    <t>п.5.</t>
  </si>
  <si>
    <t>Мероприятия, осуществляемые органами местного самоуправления в рамках непрограммных направлений расходов</t>
  </si>
  <si>
    <t>КСП</t>
  </si>
  <si>
    <t>Предоставление услуг (проведение работ)</t>
  </si>
  <si>
    <t>0710100011</t>
  </si>
  <si>
    <t>0710100012</t>
  </si>
  <si>
    <t>Организация мероприятий в области физической культуры</t>
  </si>
  <si>
    <t>Реализация дополнительных профессиональных общеобразовательных программ повышения квалификации</t>
  </si>
  <si>
    <t>0800100020</t>
  </si>
  <si>
    <t>0800100021</t>
  </si>
  <si>
    <t>0800100022</t>
  </si>
  <si>
    <t>0800100023</t>
  </si>
  <si>
    <t>0800100025</t>
  </si>
  <si>
    <t>0800100012</t>
  </si>
  <si>
    <t>0800100030</t>
  </si>
  <si>
    <t>0800100031</t>
  </si>
  <si>
    <t>0800100032</t>
  </si>
  <si>
    <t>08001SP180</t>
  </si>
  <si>
    <t>раздел 3; п.3</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</si>
  <si>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b/>
        <sz val="11"/>
        <rFont val="Times New Roman"/>
        <family val="1"/>
      </rPr>
      <t>в части дошкольного</t>
    </r>
    <r>
      <rPr>
        <sz val="11"/>
        <rFont val="Times New Roman"/>
        <family val="1"/>
      </rPr>
      <t xml:space="preserve"> </t>
    </r>
    <r>
      <rPr>
        <b/>
        <sz val="11"/>
        <rFont val="Times New Roman"/>
        <family val="1"/>
      </rPr>
      <t>образования</t>
    </r>
    <r>
      <rPr>
        <sz val="11"/>
        <rFont val="Times New Roman"/>
        <family val="1"/>
      </rPr>
      <t xml:space="preserve"> в муниципальных дошкольных образовательных организациях и муниципальных общеобразовательных организациях)</t>
    </r>
  </si>
  <si>
    <t>Подпрограмма "Развитие физической культуры и спорта"</t>
  </si>
  <si>
    <t>УФ</t>
  </si>
  <si>
    <t>Администрация ОГО</t>
  </si>
  <si>
    <t>0320100011</t>
  </si>
  <si>
    <t>УОиСР</t>
  </si>
  <si>
    <t>02101L4970</t>
  </si>
  <si>
    <t>Обеспечение жильем молодых семей в рамках федеральной целевой программы "Обеспечение доступным и комфортным жильем и коммунальными услугами граждан РФ (35%)</t>
  </si>
  <si>
    <t>Устройство спортивных площадок и оснащение объектов спортивным оборудованием и инвентарем для занятий физической культурой и спортом</t>
  </si>
  <si>
    <t>07201SФ130</t>
  </si>
  <si>
    <t>2623</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</si>
  <si>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</si>
  <si>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0610100010</t>
  </si>
  <si>
    <t>код строки</t>
  </si>
  <si>
    <t>0710100022</t>
  </si>
  <si>
    <t>0710100021</t>
  </si>
  <si>
    <t>0120100020</t>
  </si>
  <si>
    <t>01.01.2021-бессрочно</t>
  </si>
  <si>
    <t>Возмещение командировачных расходов</t>
  </si>
  <si>
    <t>0320100027</t>
  </si>
  <si>
    <t>статья .5</t>
  </si>
  <si>
    <t>2548</t>
  </si>
  <si>
    <t>создание, содержание и организация деятельности аварийно-спасательных служб и (или) аварийно-спасательных формирований на территории муниципильного округа, городского округа</t>
  </si>
  <si>
    <t>Организация деятельности аварийно-спасательных формирований (АСФ)</t>
  </si>
  <si>
    <t>0501000040</t>
  </si>
  <si>
    <t>Основное мероприятие "Повышение уровня защищенности граждан и территории Осинского городского округа"</t>
  </si>
  <si>
    <t>0501000000</t>
  </si>
  <si>
    <t>Обеспечение функционирования службы ЕДДС</t>
  </si>
  <si>
    <t>Организация деятельности "МКУ Гражданская защита"</t>
  </si>
  <si>
    <t>Муниципальная программа "Обеспечение безопасности жезнедеятельности населения и территории Осинского городского округа"</t>
  </si>
  <si>
    <t>участие в предупреждении и ликвидации последствий чрезвычайных ситуаций в границах муниципильного округа, городского округа</t>
  </si>
  <si>
    <t>обеспечение первичных мер пожарной безопасности в границах муниципильного округа, городского округа</t>
  </si>
  <si>
    <t>0501000010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</si>
  <si>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муниципильного округа, городского округа</t>
  </si>
  <si>
    <t>0501000020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</si>
  <si>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муниципильного округа, городского округа</t>
  </si>
  <si>
    <t>0501000030</t>
  </si>
  <si>
    <t>0501000050</t>
  </si>
  <si>
    <t>Снижение уровня преступности и повышение роли общественности в укреплении законности и правопорядка на территории Осинского городского округа</t>
  </si>
  <si>
    <t>05010SП020</t>
  </si>
  <si>
    <t>0501000060</t>
  </si>
  <si>
    <t>2540</t>
  </si>
  <si>
    <t>утверждение правил благоустройства территории муниципильного округа, городского округа, осуществление контроля за их соблюдением</t>
  </si>
  <si>
    <t>1700100051</t>
  </si>
  <si>
    <t>Издание информационных материалов о реализации общественных инициатив</t>
  </si>
  <si>
    <t>Основное мероприятие "Создание условий для реализации общественных инициатив и формирования активной гражданской позиции по вопросам местного значения на территории Осинского городского округа</t>
  </si>
  <si>
    <t>1700100000</t>
  </si>
  <si>
    <t>1700000000</t>
  </si>
  <si>
    <t>Муниципальная программа "Развитие и поддержка общественных инициатив на территории Осинского городского округа"</t>
  </si>
  <si>
    <t>Участие в реализации проектов инициативного бюджетирования и проектов ТОС</t>
  </si>
  <si>
    <t>Организация и проведение конкурса социальных и культурных проектов ОГО</t>
  </si>
  <si>
    <t>Организация и проведение конкурса снежных городков и снежных скульптур "Новогодняя фантазия"</t>
  </si>
  <si>
    <t>1700100021</t>
  </si>
  <si>
    <t>1700100022</t>
  </si>
  <si>
    <t>1700100023</t>
  </si>
  <si>
    <t>УРЭИиЗО</t>
  </si>
  <si>
    <t>Подпрограмма "Муниципальное имущество Осинского городского округа"</t>
  </si>
  <si>
    <t>Обеспечение сохранности, содержания и управления муниципальным имуществом Осинского городского округа</t>
  </si>
  <si>
    <t>ведение претензионно-исковой работы по взысканию задолженности за наем помещений</t>
  </si>
  <si>
    <t>направление уведомлений об оплате за наем помещений</t>
  </si>
  <si>
    <t>1010100112</t>
  </si>
  <si>
    <t>1010100113</t>
  </si>
  <si>
    <t>Подпрограмма "Земельные ресурсы Осинского городского округа"</t>
  </si>
  <si>
    <t xml:space="preserve">Управление муниципальным жилищным фондом Осинского городского округа </t>
  </si>
  <si>
    <t>1010100300</t>
  </si>
  <si>
    <t xml:space="preserve">Приведение в нормативное состояние муниципального жилищного фонда </t>
  </si>
  <si>
    <t>1010100301</t>
  </si>
  <si>
    <t>2551</t>
  </si>
  <si>
    <t>осуществление мероприятий по обеспечению безопасности людей на водных объектах, охране их жизни и здоровья</t>
  </si>
  <si>
    <t>0406</t>
  </si>
  <si>
    <t>п.3; п.1</t>
  </si>
  <si>
    <t>Реализация мероприятий, направленных на комплексное развитие сельских территорий (улучшение жилищных условий граждан, проживающих в сельских территориях)</t>
  </si>
  <si>
    <t>Муниципальная программа "Комплексное развитие сельских территорий Осинского городского округа"</t>
  </si>
  <si>
    <t>1600000000</t>
  </si>
  <si>
    <t>Подпрограмма "Улучшение жилищных условий граждан, проживающих на сельских территориях Осинского городского округа"</t>
  </si>
  <si>
    <t>1610000000</t>
  </si>
  <si>
    <t>16101L5761</t>
  </si>
  <si>
    <t>п. 2.2</t>
  </si>
  <si>
    <t>Реализация программ развития преобразованных муниципальных образований (устройство, строительство и ремонт спортивных объектов)</t>
  </si>
  <si>
    <t>Решение Думы ОГО от 13.12.2019 № 78 "О создании Дорожного фонда Осинского городского округа и об утверждении Порядка формирования и использования бюджетных ассигнований дорожного фонда Осинского городского округа"; Постановление администрации ОГО от 12.10.2020 № 894 "Об утверждении расходного обязательства по развитию транспортной системы Осинского городского округа"</t>
  </si>
  <si>
    <t>01.01.2021-бессрочно; 31.12.2019-бессрочно</t>
  </si>
  <si>
    <t>п.3; п.1.6</t>
  </si>
  <si>
    <t xml:space="preserve">   в целом</t>
  </si>
  <si>
    <t xml:space="preserve">п.2.2.;                                    п.1;                            </t>
  </si>
  <si>
    <t>п.2.2.; п.1</t>
  </si>
  <si>
    <t xml:space="preserve"> п.2.3.                         в целом                                 в целом                               п.1; п.2.4;                            </t>
  </si>
  <si>
    <t>п.7; п. 8</t>
  </si>
  <si>
    <t>11.03.2020-бессрочно; 11.03.2020-бессрочно;</t>
  </si>
  <si>
    <t>11.03.2020- бессрочно</t>
  </si>
  <si>
    <t>11.03.2020 бессрочно</t>
  </si>
  <si>
    <t>раздел 3;  п.1.1</t>
  </si>
  <si>
    <t>раздел 3;                     п.4.4</t>
  </si>
  <si>
    <t>3200</t>
  </si>
  <si>
    <t>за счет субвенций, предоставленных из бюджета субъекта Российской Федерации, всего</t>
  </si>
  <si>
    <t>3201</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</si>
  <si>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</si>
  <si>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в целом;                  в целом</t>
  </si>
  <si>
    <t>3202</t>
  </si>
  <si>
    <t xml:space="preserve">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t>
  </si>
  <si>
    <t>2000000000</t>
  </si>
  <si>
    <t>Обеспечение деятельности органов местного самоуправления в рамках непрограммных направлений</t>
  </si>
  <si>
    <t>за счет субвенций, предоставленных из федерального бюджета, всего</t>
  </si>
  <si>
    <t>3100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</si>
  <si>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</si>
  <si>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 xml:space="preserve">п.5, 6 </t>
  </si>
  <si>
    <t>п.1.1; п.3, 4</t>
  </si>
  <si>
    <t>в целом; п.3, 4</t>
  </si>
  <si>
    <t xml:space="preserve"> в целом; п.2.3; п.1</t>
  </si>
  <si>
    <t>в целом;   п.2</t>
  </si>
  <si>
    <t>Оказание информационных услуг по справочно- правовой системе органов местного самоуправления</t>
  </si>
  <si>
    <t xml:space="preserve">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 </t>
  </si>
  <si>
    <t>3241</t>
  </si>
  <si>
    <t>Основное мероприятие "Создание в системе образования возможностей, обеспечивающих удовлетворение потребности населения в качественных услугах дошкольного, начального общего, основного общего, среднего общего образования"</t>
  </si>
  <si>
    <t>0410100000</t>
  </si>
  <si>
    <t>ст.7; в целом</t>
  </si>
  <si>
    <t>3237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</si>
  <si>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</si>
  <si>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1004</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</si>
  <si>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</si>
  <si>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</si>
  <si>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2544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</si>
  <si>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</si>
  <si>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Муниципальная программа "Развитие градостроительной деятельности Осинского городского округа"</t>
  </si>
  <si>
    <t>Основное мероприятие "Создание условий для эффективного управления территорией Осинского городского округа"</t>
  </si>
  <si>
    <t>Постановление администрации ОГО от 12.10.2020 № 894 "Об утверждении расходного обязательства по по развитию транспортной системы Осинского городского округа"</t>
  </si>
  <si>
    <t>Поддержка образования для детей с ограниченными возможностями здоровья</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</si>
  <si>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</si>
  <si>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Поддержка муниципальных программ формирования современной городской среды (расходы, не софинансируемые из федерального бюджета), благоустройство общественных территорий</t>
  </si>
  <si>
    <t>14001SЖ092</t>
  </si>
  <si>
    <t>Разработка и подготовка проектно-сметной документации по строительству и реконструкции (модернизации) очистных сооружений</t>
  </si>
  <si>
    <t>3228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</si>
  <si>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</si>
  <si>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Содержание жилых помещений специализированного жилищного фонда для детей-сирот, оставшихся без попечения родителей, лиц из их числа</t>
  </si>
  <si>
    <t>УРЭиИЗО</t>
  </si>
  <si>
    <t>101012С070</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</si>
  <si>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</si>
  <si>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101012С080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</si>
  <si>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</si>
  <si>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200002С090</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</si>
  <si>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</si>
  <si>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200002Т060</t>
  </si>
  <si>
    <t>ст.7;                         в целом</t>
  </si>
  <si>
    <t xml:space="preserve">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t>
  </si>
  <si>
    <t>0110100010</t>
  </si>
  <si>
    <t>0110100020</t>
  </si>
  <si>
    <t>0800100011</t>
  </si>
  <si>
    <t>0800100013</t>
  </si>
  <si>
    <t>21000SС240</t>
  </si>
  <si>
    <t>Обеспечение выполнения функций МКУ "Гражданская защита" (Обеспечение первичных мер пожарной безопасности)</t>
  </si>
  <si>
    <t>Поддержка муниципальных программ формирования современной городской среды (расходы, не софинансируемые из федерального бюджета), благоустройство дворовых территорий</t>
  </si>
  <si>
    <t>14001SЖ091</t>
  </si>
  <si>
    <t>1200100010</t>
  </si>
  <si>
    <t>Обеспечение актуальными документами территориального планирования и градостроительного зонирования</t>
  </si>
  <si>
    <t>1200100000</t>
  </si>
  <si>
    <t>Постановление администрации ОМР от 05.12.2019 № 1155 "Об установлении расходного обязательства по развитию градостроительной деятельности Осинского городского округа"</t>
  </si>
  <si>
    <t>п 3</t>
  </si>
  <si>
    <t>1010100200</t>
  </si>
  <si>
    <t>Вовлечение в оборот неиспользуемого имущества казны</t>
  </si>
  <si>
    <t>2510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</si>
  <si>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</si>
  <si>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Основное мероприятие "Рациональное использование муниципального имущества Осинского городского округа"</t>
  </si>
  <si>
    <t>1010100000</t>
  </si>
  <si>
    <t>210002С460</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</si>
  <si>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</si>
  <si>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041Е151870</t>
  </si>
  <si>
    <t>0800100034</t>
  </si>
  <si>
    <t>п 1;   п.2.2.</t>
  </si>
  <si>
    <t>1010100115</t>
  </si>
  <si>
    <t>Приобретение имущества в муниципальную собственность</t>
  </si>
  <si>
    <t>09001L5765</t>
  </si>
  <si>
    <t>01.01.2021-бессрочно; 10.01.2017-бессрочно</t>
  </si>
  <si>
    <t>01.01.2021-бессрочно; 23.03.2021-бессрочно</t>
  </si>
  <si>
    <t>п.3; п.1.1, п.1.2</t>
  </si>
  <si>
    <t>01.01.2021-бессрочно; 11.11.2019-31.12.2022</t>
  </si>
  <si>
    <t>13.12.2019-бессрочно; 01.01.2021-бессрочно</t>
  </si>
  <si>
    <t>01.01.2020-бессрочно; 18.04.2014-бессрочно</t>
  </si>
  <si>
    <t>п.2.4;                   п.1.4</t>
  </si>
  <si>
    <t>Постановление администрации ОГО от 12.10.2020 № 897 "Об установлении расходного обязательства по реализации мероприятий, направленных на комплексное развитие сельских территорий"; Постановление 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 (ред. от 27.07.2021 №508-п)</t>
  </si>
  <si>
    <t>в целом; п.1</t>
  </si>
  <si>
    <t>раздел 3</t>
  </si>
  <si>
    <t>в целом;    п.4.4;     в целом</t>
  </si>
  <si>
    <t>пп.1.2;  в целом,               в целом</t>
  </si>
  <si>
    <t>п.2.1;  в целом;                               п.1</t>
  </si>
  <si>
    <t>п 1.1;   п.2.3</t>
  </si>
  <si>
    <t>в целом;  в целом;         в целом; п.2</t>
  </si>
  <si>
    <t>01.01.2021-бессрочно; 01.01.2014-бессрочно</t>
  </si>
  <si>
    <t>в целом;  п.1.1</t>
  </si>
  <si>
    <t>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 (ред. от 27.07.2021 №508-п)</t>
  </si>
  <si>
    <t xml:space="preserve">п.2.5, п.2.6 </t>
  </si>
  <si>
    <t>в целом; статья 3</t>
  </si>
  <si>
    <t>15.06.2020-бессрочно; 01.01.2018-бессрочно</t>
  </si>
  <si>
    <t xml:space="preserve">Решение Думы ОГО от 28.08.2020 №205 "Об утверждении Положения о пенсии за выслугу лет лицам, замещавшим муниципальные должности в органах местного самоуправления Осинского муниципального района, поселениях Осинского муниципального района, в Осинском городском округе на постоянной основе"; Решение Думы ОГО от 28.08.2020 №206 "Об утверждении Положения о пенсии за выслугу лет лицам, замещавшим должности муниципальной службы в органах местного самоуправления Осинского муниципального района, поселениях Осинского муниципального района, в Осинском городском округе"                              </t>
  </si>
  <si>
    <t>Закон Пермского края от 17.10.2006 № 20-КЗ "О передаче органам местного самоуправления Пермского края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(ред. от 30.06.2021 №665-ПК); Постановление ППК от 28.08.2014 N 872-п "Об утверждении порядка предоставления и расходования средств бюджета ПК, передаваемых органам местного самоуправления поселений, городских округов, муниципальных районов ПК для осуществления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(ред. от 30.01.2020 №34-п)</t>
  </si>
  <si>
    <t>03.11.2006- бессрочно; 12.09.2014-бессрочно</t>
  </si>
  <si>
    <t>22.07.2017-бессрочно</t>
  </si>
  <si>
    <t>п.1.1; в целом</t>
  </si>
  <si>
    <t>22.07.2017-бессрочно; 01.01.2018 - бессрочно</t>
  </si>
  <si>
    <t>п.1.2</t>
  </si>
  <si>
    <t>0310100030</t>
  </si>
  <si>
    <t>Осуществление прохождения ежегодной диспансеризации муниципальных служащих</t>
  </si>
  <si>
    <t>Создание благоприятных условий для устойчивого развития малого и среднего предпринимательства на территории Осинского городского округа</t>
  </si>
  <si>
    <t>Повышение инвестиционной привлекательности Осинского городского округа</t>
  </si>
  <si>
    <t>Строительство (реконструкция), капитальный ремонт гидротехнических сооружений муниципальной собственности</t>
  </si>
  <si>
    <t>05010SЭ200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</si>
  <si>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(строительство водопроводных сетей)</t>
  </si>
  <si>
    <t>11201SP040</t>
  </si>
  <si>
    <t>Предупреждение банкротства и восстановление платежеспособности МУП "Тепловые сети"</t>
  </si>
  <si>
    <t>планируемый финансовый год (2022)</t>
  </si>
  <si>
    <t>плановый период (2023-2024)</t>
  </si>
  <si>
    <t>17001SP180</t>
  </si>
  <si>
    <t>Софинансирование проектов инициативного бюджетирования</t>
  </si>
  <si>
    <t>Реализация основных общеобразовательных программ среднего общего образования(город)</t>
  </si>
  <si>
    <t xml:space="preserve">Обеспечение бесперебойного функционирования зданий (сооружений) муниципальных организаций культуры </t>
  </si>
  <si>
    <t>Реализация программ развития преобразованных муниципальных образований (проведение ремонтно-реставрационных работ в учреждениях культуры)</t>
  </si>
  <si>
    <t xml:space="preserve">п.2;                          в целом                   </t>
  </si>
  <si>
    <t>01.01.2020-бессрочно 01.01.2022-бессрочно</t>
  </si>
  <si>
    <t>статья 4;                 в целом</t>
  </si>
  <si>
    <t>0710100013</t>
  </si>
  <si>
    <t>Создание условий для занятий физической культурой и спортом в сельской  местности и по месту жительства</t>
  </si>
  <si>
    <t>041E100000</t>
  </si>
  <si>
    <t>Основное мероприятие "Федеральный проект "Современная школа"</t>
  </si>
  <si>
    <t>Предоставление субсидий социально ориентированным некоммерческим организациям</t>
  </si>
  <si>
    <t>1700100041</t>
  </si>
  <si>
    <t>Повышение уровня безопасности граждан в повседневной жизни (повышение уровня общей защищенности граждан)</t>
  </si>
  <si>
    <t>01.01.2021-бессрочно, 01.01.2020-бессрочно, 01.01.2022-31.12.2024</t>
  </si>
  <si>
    <r>
      <t>п.1.1</t>
    </r>
    <r>
      <rPr>
        <sz val="11"/>
        <color indexed="8"/>
        <rFont val="Times New Roman"/>
        <family val="1"/>
      </rPr>
      <t>; раздел 3</t>
    </r>
  </si>
  <si>
    <t>в целом; в целом</t>
  </si>
  <si>
    <t>01.01.2022-бессрочно; 18.12.2015-бессрочно</t>
  </si>
  <si>
    <t>01.01.2022-бессрочно</t>
  </si>
  <si>
    <t>01.01.2022-бессрочно, 01.01.2020-бессрочно, 01.01.2021-31.12.2023</t>
  </si>
  <si>
    <t>01.01.202-31.12.2024; 01.01.2021-бессрочно</t>
  </si>
  <si>
    <t>Постановление администрации ОМР от 07.12.2017 № 614 "Об утверждении Порядка определения нормативных затрат на оказание муниципальной услуги "Реализация дополнительных профессиональных программ повышения квалификации" и нормативных затрат на уплату налогов", Постановление администрации ОГО от 13.10.2021 №1224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2022 год и плановый период 2023 и 2024 годов"; 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t>
  </si>
  <si>
    <t>01.01.2018-бессрочно; 01.01.2022-31.12.2024; 01.01.2022-бессрочно</t>
  </si>
  <si>
    <t>01.01.2022-бессрочно, 01.01.2018-бессрочно 01.01.2019-31.12.2021</t>
  </si>
  <si>
    <t xml:space="preserve">Постановление администрации ОГО от 13.10.2021 № 1221 "Об установлении расходного обязательства по вопросам местного значения в сфере культуры";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</si>
  <si>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Постановление администрации ОГО от 13.10.2021 № 1221 "Об установлении расходного обязательства по вопросам местного значения в сфере культуры"</t>
  </si>
  <si>
    <t>01.01.2022-бессрочно; 01.01.2020-бессрочно; 01.08.2021-бессрочно</t>
  </si>
  <si>
    <t xml:space="preserve">Постановление администрации ОГО от 13.10.2021 № 1221 "Об установлении расходного обязательства по вопросам местного значения в сфере культуры";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</si>
  <si>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01.01.2022-бессрочно; 01.01.2020-бессрочно</t>
  </si>
  <si>
    <t xml:space="preserve">Постановление администрации ОГО от13.10.2021 № 1221 "Об установлении расходного обязательства по вопросам местного значения в сфере культуры";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18.08.2021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</si>
  <si>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 xml:space="preserve">Постановление администрации ОГО от 13.10.2021 № 1221 "Об установлении расходного обязательства по вопросам местного значения в сфере культуры" </t>
  </si>
  <si>
    <t xml:space="preserve"> 01.01.2022-бессрочно; 01.01.2022-31.12.2024; 01.01.2021-бессрочно, 01.08.2021-бессрочно      </t>
  </si>
  <si>
    <t xml:space="preserve">Постановление администрации ОГО от 13.10.2021 № 1221 "Об установлении расходного обязательства по вопросам местного значения в сфере культуры"; Постановление администрации ОГО от 13.10.2021 № 1223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2022 год и плановый период 2023 и 2024 годы";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</si>
  <si>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01.01.2020-31.12.2022 01.01.2020- бессрочно; 01.01.2022-бессрочно</t>
  </si>
  <si>
    <t>01.01.2020-31.12.2022 01.08.2021- бессрочно; 01.01.2021-бессрочно</t>
  </si>
  <si>
    <t>01.01.2020-31.12.2022;  01.01.2021- бессрочно; 01.01.202-31.12.2024; 01.01.2022-бессрочно</t>
  </si>
  <si>
    <t>21.11.2018- бессрочно; 01.01.2022-бессрочно</t>
  </si>
  <si>
    <t xml:space="preserve">01.01.2022-бессрочно </t>
  </si>
  <si>
    <t>01.01.2022 - бессрочно</t>
  </si>
  <si>
    <t>01.01.2022 -бессрочно</t>
  </si>
  <si>
    <t xml:space="preserve">п.2 </t>
  </si>
  <si>
    <t xml:space="preserve">Решение Думы ОГО от 13.12.2019 № 79 "Об утверждении Порядка материально – технического и организационного обеспечения деятельности органов местного самоуправления Осинского городского округа". </t>
  </si>
  <si>
    <t>Решение Дума ОГО от 29.04.2021 № 292 "Об утверждении Порядка и размеров возмещения расходов, связанных со служебными командировками, за счет средств бюджета ОГО"</t>
  </si>
  <si>
    <t>29.04.2021- бессрочно</t>
  </si>
  <si>
    <t>Решение Думы ОГО от 29.04.2021 № 292 "Об утверждении Порядка и размеров возмещения расходов, связанных со служебными командировками, за счет средств бюджета ОГО"</t>
  </si>
  <si>
    <t xml:space="preserve">статья 4;                 </t>
  </si>
  <si>
    <t xml:space="preserve">13.12.2019-бессрочно </t>
  </si>
  <si>
    <t>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(ред.от 06.10.2021 №1184)</t>
  </si>
  <si>
    <t>Строительство, реконструкция, модернизация, ремонт системы теплоснабжения</t>
  </si>
  <si>
    <t>Реализация программ развития преобразованных муниципальных образований (благоустройство территории)</t>
  </si>
  <si>
    <t>09001SР180</t>
  </si>
  <si>
    <t xml:space="preserve">01.01.2021-бессрочно; 21.11.2018-бессрочно </t>
  </si>
  <si>
    <t>на государственную регистрацию актов гражданского состояния</t>
  </si>
  <si>
    <t>по составлению (изменению) списков кандидатов в присяжные заседатели</t>
  </si>
  <si>
    <t>0320159300</t>
  </si>
  <si>
    <t>Государственная регистрация актов гражданского состояния</t>
  </si>
  <si>
    <t>статья 6</t>
  </si>
  <si>
    <t>31.03.2007-бессрочно</t>
  </si>
  <si>
    <t>0105</t>
  </si>
  <si>
    <t>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</si>
  <si>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0320151200</t>
  </si>
  <si>
    <t>23.05.2005- бессрочно</t>
  </si>
  <si>
    <t>Администрирование государственных полномочий по организации мероприятий при осуществлении деятельности по обращению животными без владельцев</t>
  </si>
  <si>
    <t>050102У100</t>
  </si>
  <si>
    <t>23.06.2016-бессрочно</t>
  </si>
  <si>
    <t>050102У090</t>
  </si>
  <si>
    <t>Организация мероприятий при осуществлении деятельности по обращению с животными без владельцев</t>
  </si>
  <si>
    <t>050102П060</t>
  </si>
  <si>
    <t>Осуществление полномочий по созданию и организации деятельности административных комиссий</t>
  </si>
  <si>
    <t>статья 5;                 в целом</t>
  </si>
  <si>
    <t>01.01.2016-бессрочно; 20.06.2016-бессрочно</t>
  </si>
  <si>
    <t>050102П040</t>
  </si>
  <si>
    <t>01.01.2011-бессрочно</t>
  </si>
  <si>
    <t>Составление протоколов об административных правонарушениях</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</si>
  <si>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</si>
  <si>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032012К080</t>
  </si>
  <si>
    <t>статья 4;                   в целом</t>
  </si>
  <si>
    <t>24.07.2007- бессрочно; 27.05.2016- бессрочно;</t>
  </si>
  <si>
    <t xml:space="preserve">Постановление ППК от 12.07.2017 N 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23.03.2021 №159-п)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</si>
  <si>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</si>
  <si>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10101R0820</t>
  </si>
  <si>
    <t>Муниципальная адресная программа "Расселение граждан из многоквартирных домов, признанных аварийными до 1 января 2017г., на территории Осинского городского округа"</t>
  </si>
  <si>
    <t>1500000000</t>
  </si>
  <si>
    <t xml:space="preserve">Обеспечение устойчивого сокращения непригодного для проживания жилого фонда </t>
  </si>
  <si>
    <t>150F367483</t>
  </si>
  <si>
    <t>п.3; п.5.3</t>
  </si>
  <si>
    <t>01.01.2020-бессрочно; 29.03.2019-31.12.2024</t>
  </si>
  <si>
    <t>Реализация мероприятий по обеспечению устойчивого сокращения непригодного для проживания жилого фонда</t>
  </si>
  <si>
    <t>150F367484</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</si>
  <si>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</si>
  <si>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2100051760</t>
  </si>
  <si>
    <t>24.03.2007-не установлен</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</si>
  <si>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</si>
  <si>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041012С170</t>
  </si>
  <si>
    <t>Закон Пермского края от 01.06.2010 № 628-ПК "О социальной поддержке педагогических работников образовательных учреждений, работающих и проживающих в сельской местности и поселках городского типа (рабочих поселках), по оплате жилого помещения и коммунальных услуг" (ред. от 24.09.2018 №283-ПК); Постановление ППК от 08.06.2010 №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(ред. от 28.11.2019 №863-п)</t>
  </si>
  <si>
    <t>ст.3; в целом</t>
  </si>
  <si>
    <t>18.06.2010 - бессрочно; 26.06.2010 - бессрочно</t>
  </si>
  <si>
    <t>Единая субвенция на выполнение отдельных государственных полномочий органов государственной власти в сфере образования (поддержка учащимся из многодетных малоимущих семей)</t>
  </si>
  <si>
    <t>041012Н020</t>
  </si>
  <si>
    <t xml:space="preserve"> ст.6; п.2</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</si>
  <si>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</si>
  <si>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210002C190</t>
  </si>
  <si>
    <t>Постановление ППК от 21.11.2012 № 1324-п «Об утверждении Порядка предоставления субсидий (единовременных денежных выплат) на приобретение (строительство) жилого помещения реабилитированным лицам, имеющим инвалидность или являющимся пенсионерами, и проживающим совместно членам их семей и Порядка предоставления и расходования субвенций из регионального фонда компенсаций на осуществление отдельных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 (ред. от 24.07.2014 №670-п)</t>
  </si>
  <si>
    <t>07.12.2012-бессрочно</t>
  </si>
  <si>
    <t>Единая субвенция на выполнение отдельных государственных полномочий органов государственной власти в сфере образования (компенсация родительской платы)</t>
  </si>
  <si>
    <t>041012H020</t>
  </si>
  <si>
    <t>Закон ПК от 28.12.2007 № 172-ПК "О наделении органов местного самоуправления ПК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(ред. от 05.03.2021 №614-ПК); Постановление ППК от 01.08.2018 N 444-п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(ред. от 21.11.2019 №838-п)</t>
  </si>
  <si>
    <t>статья 6; п.1.2</t>
  </si>
  <si>
    <t xml:space="preserve"> 26.01.2008-бессрочно; 01.09.2018-бессрочно</t>
  </si>
  <si>
    <t>Мероприятия по организации оздоровления и отдыха детей</t>
  </si>
  <si>
    <t>041012С140</t>
  </si>
  <si>
    <t>20.04.2010-бессрочно; 12.04.2016-бессрочно</t>
  </si>
  <si>
    <t xml:space="preserve">Единая субвенция на выполнение отдельных государственных полномочий органов государственной власти в сфере образования </t>
  </si>
  <si>
    <t>Единая субвенция на выполнение отдельных государственных полномочий органов государственной власти в сфере образования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</si>
  <si>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</si>
  <si>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0410153030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</si>
  <si>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</si>
  <si>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04101L3040</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</si>
  <si>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ППК от 02.07.2020 № 482-п "Об утверждении Порядка предоставления и расходования иных межбюджетных трансфертов из бюджета Пермского края с участием средств федерального бюджета бюджетам муниципальных и городских округов, муниципальных районов Пермского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(ред. от 03.03.2021 №122-п)</t>
  </si>
  <si>
    <t>01.01.2021-бессрочно; 01.09.2020-бессрочно</t>
  </si>
  <si>
    <t>Оснащение оборудованием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t>
  </si>
  <si>
    <t>041012Н420</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</si>
  <si>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</si>
  <si>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200002Ц320</t>
  </si>
  <si>
    <t>ст.6</t>
  </si>
  <si>
    <t>01.01.2006-бессрочно</t>
  </si>
  <si>
    <t>032012С050</t>
  </si>
  <si>
    <t>Образование комиссий по делам несовершеннолетних и защите их прав и организациях их деятельности</t>
  </si>
  <si>
    <t>статья 4</t>
  </si>
  <si>
    <t>01.01.2017- бессрочно</t>
  </si>
  <si>
    <t xml:space="preserve"> 01.01.2022 бессрочно</t>
  </si>
  <si>
    <t>01.01.2022-бессрочно; 06.03.2014-бессрочно</t>
  </si>
  <si>
    <t xml:space="preserve">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t>
  </si>
  <si>
    <t>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</si>
  <si>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 xml:space="preserve"> 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</si>
  <si>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ППК от 06.03.2014 № 141-п "Об утверждении Порядка предоставления субсидий бюджетам муниципальных образований Пермского края на реализацию мероприятий по строительству (реконструкции), капитальному ремонту гидротехнических сооружений муниципальной собственности, бесхозяйных гидротехнических сооружений" (ред. от 20.08.2020 №614-п)</t>
  </si>
  <si>
    <t>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</si>
  <si>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(в ред. от 24.02.2021 № 181)</t>
  </si>
  <si>
    <t>Постановление администрации ОГО от 22.09.2020  № 814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(ред. от 16.08.2021 №942)</t>
  </si>
  <si>
    <t>Постановление администрации ОГО от 12.10.2020 № 896 "Об установлении расходного обязательства по развитию инфраструктуры Осинского городского округа" (ред. от 14.10.2021 №1233)</t>
  </si>
  <si>
    <t xml:space="preserve">Постановление администрации ОГО от 12.10.2020 № 896 "Об установлении расходного обязательства по развитию инфраструктуры Осинского городского округа" (ред. от 14.10.2021 №1233); Приказ Министерства тарифного регулирования и энергетики Пермского края от 11.11.2019 № СЭД-46-05-05-16 "об утверждении корректировки инвестиционной программы МУП "Тепловые сети" в сфере теплоснабжения  на 2018-2022 гг." </t>
  </si>
  <si>
    <t>05.04.2021-бессрочно</t>
  </si>
  <si>
    <t>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t>
  </si>
  <si>
    <t xml:space="preserve">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22.09.2021 №673-п); Постановление администрации ОГО от 13.10.2021№ 1221 "Об установлении расходного обязательства по вопросам местного значения в сфере культуры" </t>
  </si>
  <si>
    <t>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22.09.2021 №673-п)</t>
  </si>
  <si>
    <t xml:space="preserve">Постановление администрации ОГО от 14.10.2021 № 1234 "Об установлении расходного обязательства по вопросам местного значения в сфере предпринимательства и сельского хозяйства" </t>
  </si>
  <si>
    <t>Обеспечение работников бюджетных учреждений Осинского городского округа путевками на санаторно-курортное лечение</t>
  </si>
  <si>
    <t>Постановление Правительства РФ от 23.05.2005 N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 (ред. от  28.08.2019 №1105 )</t>
  </si>
  <si>
    <t>Постановление ППК от 02.03.2007 №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 (ред. от 04.07.2016 №439-п)</t>
  </si>
  <si>
    <t xml:space="preserve">Постановление ППК от 22.06.2016 N 384-п "Об утверждении Порядка предоставления и расходования субвенций из бюджета ПК бюджетам городских (сельских) поселений и ГО ПК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(ред. от 22.04.2020 № 244-п) </t>
  </si>
  <si>
    <t xml:space="preserve">Закон Пермского края от 01.12.2015 N 576-ПК "О наделении органов местного самоуправления государственными полномочиями Пермского края по созданию и организации деятельности административных комиссий" (ред. от 07.06.2021); Постановление ППК от 20 июня 2016 № 378-п "Об утверждении порядка предоставления и  расходования средств, переданных из бюджета ПК органам местного самоуправления на осуществление государственных полномочий ПК по созданию и организации деятельности административных комиссий" (ред. от 11.10.2017 № 831-п) </t>
  </si>
  <si>
    <t>Закон Пермского края от 29.12.2005 №2768-620 "О передаче органам местного самоуправления отдельных государственных полномочий по обслуживанию лиценвых счетов органов государственной власти Пермского края, государственных краевых учреждений" (ред. от 02.02.2021)</t>
  </si>
  <si>
    <t>Закон Пермского края от 02.04.2010 № 607 "О передаче органам местного самоуправления отдельных государственных полномочий по организации оздоровления и отдыха детей" (ред. от 06.03.2020 №507-ПК); Постановление ППК от 31.03.2016 N 169-п "Об утверждении порядков по реализации государственных полномочий в сфере обеспечения отдыха детей и их оздоровления в Пермском крае" (ред. от 25.11.2020 №902-п)</t>
  </si>
  <si>
    <t>Постановление главы ОГО № 50 от 06.04.2020 "Об утверждении Положения о порядке использования бюджетных ассигнований резервного фонда администрации Осинского городского округа"(ред.28.05.2021 №574)</t>
  </si>
  <si>
    <t xml:space="preserve">Постановление администрации ОГО от 15.06.2020 № 319 "Об утверждении Порядка обеспечения работников муниципальных учреждений Осинского городского округа путевками на санаторно-курортное лечение и оздоровление, Положения о комиссии по распределению путевок на санаторно-курортное лечение и оздоровление работников муниципальных учреждений Осинского городского округа" (ред.15.09.2020 №761); Закон Пермского края от 04.09.2017 № 121-ПК "Об обеспечении работников государственных и муниципальных учреждений Пермского края путевками на санаторно-курортное лечение и оздоровление" (ред.от 10.09.2020 №559-ПК) </t>
  </si>
  <si>
    <t>01.01.2021-бессрочно, 05.04.2021- бессрочно</t>
  </si>
  <si>
    <t>01.01.2022-бессрочно, 05.04.2021-бессрочно</t>
  </si>
  <si>
    <t>Постановление администрации ОГО от 13.10.2021 № 1219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t>
  </si>
  <si>
    <t>Постановление администрации ОГО от 13.10.2021 № 1219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t>
  </si>
  <si>
    <t>01.01.2022-бессрочно,  05.04.2021-бессрочно</t>
  </si>
  <si>
    <t>01.01.2022-бессрочно; 05.04.2021-бессрочно</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</si>
  <si>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 в ред. 24.02.2021 № 181)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</si>
  <si>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 в ред. 24.02.2021 № 181)                                    </t>
  </si>
  <si>
    <t>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22.09.2021 №673-п);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 в ред. 24.02.2021 № 181)</t>
  </si>
  <si>
    <t>07.10.2008-бессрочно, 01.01.2020-бессрочно</t>
  </si>
  <si>
    <t>Закон Пермского края от 10.09.2008 N 290-ПК "О наделении органов местного самоуправления Пермского края отдельными государственными полномочиями по предоставлению мер социальной поддержки обучающимся из малоимущих многодетных и малоимущих семей" (ред. от 05.03.2021 №614-ПК); Постановление администрации ОМР от 27.02.2020 № 195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t>
  </si>
  <si>
    <t>Постановление администрации ОГО от 12.10.2020 № 896 "Об установлении расходного обязательства по развитию инфраструктуры Осинского городского округа" (ред. от 14.10.2021 №1233); Постановление ППК от 10.03.2021 № 135-п "Об утверждении Порядка предоставления и расходования субсидии из бюджета Пермского края бюджетам муниципальных образований Пермского края на проведение технического аудита состояния очистных сооружений и сетей водоотведения и Порядка предоставления и расходования субсидии из бюджета Пермского края бюджетам муниципальных образований Пермского края на разработку и подготовку проектно-сметной документации по строительству и реконструкции (модернизации) очистных сооружений"(ред. от 09.06.2021 №394-п)</t>
  </si>
  <si>
    <t>01.01.2022-бессрочно; 05.04.2021- бессрочно</t>
  </si>
  <si>
    <t>08.12.2020-бессрочно, 01.01.2021-бессрочно,  01.01.2022-31.12.2024</t>
  </si>
  <si>
    <t>Реестр расходных обязательств Осинского городского округа  по действущим НПА</t>
  </si>
  <si>
    <t>Постановление ППК от 12.07.2017 N 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05.10.2021 №749-п); Постановление администрации ОМР от 26.12.2017 № 653 "Об установлении расходного обязательства на реализацию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</si>
  <si>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 xml:space="preserve">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03.10.2013 N 1331-п "Об утверждении государственной программы Пермского края "Градостроительная и жилищная политика, создание условий для комфортной городской среды" (ред. от 30.09.2021 №716-п) </t>
  </si>
  <si>
    <t>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03.10.2013 N 1331-п "Об утверждении государственной программы Пермского края "Градостроительная и жилищная политика, создание условий для комфортной городской среды" (ред. от 30.09.2021 №716-п)</t>
  </si>
  <si>
    <t xml:space="preserve">Постановление администрации ОМР от 02.12.2019 № 1153 "Об утверждении расходного обязательства по созданию безопасных и благоприятных условий проживания граждан"; Постановление ППК от 29.03.2019 № 227-п "Об утверждении региональной адресной программы по переселению граждан из аварийного жилищного фонда на территории Пермского края на 2019-2024 годы"(ред. от 05.10.2021 №751-п) </t>
  </si>
  <si>
    <t>Постановление администрации ОГО от 22.09.2020  № 814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(ред. от 10.11.2021 №1295)</t>
  </si>
  <si>
    <t xml:space="preserve"> Постановление Администрации ОГО от 11.11.2020 №1012  "Об установлении расходного обязательства по вопросам местного значения в сфере молодежной политики" (в ред. от 10.11.2021 № 1294); Постановление ППК от 01.04.2014 № 215-п "О реализации мероприятий подпрограммы 1 "Социальная поддержка семей с детьми. Профилактика социального сиротства и защита прав детей-сирот" государственной программы "Социальная поддержка жителей Пермского края", утвержденной Постановлением Правительства Пермского края от 03.10.2013 №1321-п" (ред. от 20.09.2021 N672-п) </t>
  </si>
  <si>
    <t>Постановление администрации ОГО от 11.11.2020 №1012  "Об установлении расходного обязательства по вопросам местного значения в сфере молодежной политики"(в ред. от 10.11.2021 № 1294)</t>
  </si>
  <si>
    <t>Постановление администрации ОГО от 14.05.2020 № 179 "Об организации отдыха и оздоровления детей, включая мероприятия по обеспечению безопасности их жизни и здоровья, в Осинском городском округе"; Постановление администрации ОГО от 28.05.2021 № 570 "Об установлении размера родительской платы за пребывание детей в лагерях отдыха различного типа, организованных муниципальными учреждениями"; 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t>
  </si>
  <si>
    <t>в целом; в целом; п.1</t>
  </si>
  <si>
    <t>14.05.2020 - бессрочно; 28.05.2021-бессрочно, 01.01.2022-бессрочно</t>
  </si>
  <si>
    <t>Проведение представительских расходов органов местного самоуправления и расходов на мероприятия администрации Осинского городского округа, уплата взносов в Совет муниципальных образований Пермского края</t>
  </si>
  <si>
    <t>Обеспечение выполнения функций органов местного самоуправления Осинского городского округа</t>
  </si>
  <si>
    <t>11201SЭ100</t>
  </si>
  <si>
    <t>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политики"(в ред. от 19.11.2021 № 1395);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13.10.2021 № 1224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2022 год и плановый период 2023 и 2024 годов"</t>
  </si>
  <si>
    <t>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политики"(в ред. от 19.11.2021 № 1395);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t>
  </si>
  <si>
    <t>Постановление администрации ОГО от 13.10.2021 №1218 "Об установлении расходного обязательства по вопросам местного значения в области общего образования и кадровой политики"(в ред. от 19.11.2021 № 1395);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13.10.2021 № 1224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2022 год и плановый период 2023 и 2024 годов"</t>
  </si>
  <si>
    <t xml:space="preserve">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политики"(в ред. от 19.11.2021 № 1395); Постановление ППК от 18.12.2015 N 1109-п "О предоставлении субсидий бюджетам муниципальных районов, муниципальных и городских округов Пермского края из бюджета Пермского края на организацию предоставления общедоступного и бесплатного дошкольного, начального общего, основного общего, среднего общего образования обучающимся с ограниченными возможностями здоровья в отдельных муниципальных общеобразовательных учреждениях, осуществляющих образовательную деятельность по адаптированным основным общеобразовательным программам, в муниципальных общеобразовательных учреждениях со специальным наименованием "специальные учебно-воспитательные учреждения" и муниципальных санаторных общеобразовательных учреждениях" (ред. от 11.08.2021 №585-п) </t>
  </si>
  <si>
    <t>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политики"(в ред. от 19.11.2021 № 1395)</t>
  </si>
  <si>
    <t>Постановление администрации ОГО от 28.05.2021 № 571 "Об утверждении Порядка назначения и осуществления выплаты родителям (законным представителям) учащихся за проезд к месту учебы и обратно";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t>
  </si>
  <si>
    <t>01.01.2021-бессрочно; 05.04.2021-бессрочно; 01.01.2022-бессрочно</t>
  </si>
  <si>
    <t>28.10.2019-бессрочно; 01.01.2021-бессрочно; 01.01.2022-бессрочно</t>
  </si>
  <si>
    <t xml:space="preserve"> Постановление администрации ОМР от 10.12.2019 № 1170 "Об установлении  расходного обязательства по осуществлению мер, направленных на улучшение гражданского единства и гармонизации межнациональных отношений на территории  Осинского городского округа"(ред.17.11.2021г №1385)</t>
  </si>
  <si>
    <t>Постановление администрации ОГО от 13.10.2021 № 1222 "Об утверждении размеров нормативных затрат на оказание муниципальных услуг (выполнение работ), затрат на уплату налогов  учреждениями спорта на 2022 год и плановый период 2023 и 2024 годов (в ред. от 18.11.2021 № 1395);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в ред. 24.02.2021 № 181)</t>
  </si>
  <si>
    <t xml:space="preserve"> Постановление администрации ОГО от 08.12.2020 № 1183 " Об утверждении Порядка определения нормативных затрат на оказание муниципальной услуги "Реализация дополнительных общеразвивающих программ» и нормативных затрат на уплату налогов муниципального бюджетного учреждения дополнительного образования "Центр детского творчества"; Постановление администрации ОГО от 13.10.2021 № 1219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13.10.2021 № 1224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2022 год и плановый период 2023 и 2024годов"</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</si>
  <si>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Постановление администрации ОГО от 24.02.2021 № 181 "О внесение изменений в постановление ОГО от 12.10.2020 г № 900 "Об установлении расходного обязательства по вопросам местного значения в сфере физической культуры и спорта"                                         </t>
  </si>
  <si>
    <t>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ОГО от 18.08.2021 № 954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13.10.2021 № 1222 "Об утверждении размеров нормативных затрат на оказание муниципальных услуг (выполнение работ), затрат на уплату налогов учреждениями спорта на 2022 год и плановый период 2023 и 2024 годов  (в ред. от 18.11.2021 № 1395);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(в ред. 24.02.2021 № 181)</t>
  </si>
  <si>
    <t>2606</t>
  </si>
  <si>
    <t>принятие устава муниципального образования и внесение в него изменений и дополнений, издание муниципальных правовых актов</t>
  </si>
  <si>
    <t xml:space="preserve">Постановление администрации ОГО от 13.10.2021 № 1218 "Об установлении расходного обязательства по вопросам местного значения в области общего образования и кадровой политики"(в ред. от 19.11.2021 № 1395);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Постановление администрации ОГО от 30.09.2020г. № 842 "Об утверждении Порядка обеспечения бесплатным двухразовым питанием детей с ограниченными возможностями здоровья, в том числе детей-инвалидов обучающихся в общеобразовательных организациях Осинского городского округа" (в ред. от 08.12.2021 № 1535) </t>
  </si>
  <si>
    <t>Строительство, ремонт системы водоснабжения и водоотведения</t>
  </si>
  <si>
    <t>Постановление администрации ОМР от 28.10.2019   №979  "О проведении конкурсного отбора на получение субсидий из бюджета Осинского муниципального района социально - риентированным некоммерческим организациям, не являющимися муниципальными учреждениями Осинского муниципального района "; Постановление администрации ОГО от 12.10.2020 №893 "Об установлении расходного обязательства по развитию и поддержке общественных инициатив на территроии ОГО"; Постановление от 22.11.2021 № 1412 "Об установлении расходного обязательства Осинского городского округа на 2022 год и последующие годы на предоставление субсидий из бюджета Осинского городского округа социально ориентированным некоммерческим организациям, не являющимся муниципальными  учреждениями, об утверждении Порядка предоставления субсидий из бюджета Осинского городского округа социально ориентированным некоммерческим организациям, не являющимся муниципальными учреждениями"(в редакции № 1569 от 16.12.2021г)</t>
  </si>
  <si>
    <t>071012Ф180</t>
  </si>
  <si>
    <t>Обеспечение условий для развития физической культуры и массового спорта</t>
  </si>
  <si>
    <t>Постановление Правительства Пермского края от 14.12.2021 №1031-п Об утверждении распределения иных межбюджетных трансфертов из бюджета Пермского края бюджетам городских округов и муниципальных районов (округов) Пермского края на обеспечение условий для развития физической культуры и массового спорта на 2022 год</t>
  </si>
  <si>
    <t>в целом;</t>
  </si>
  <si>
    <t>01.01.2022-31.12.2022</t>
  </si>
  <si>
    <t>Постановление ППК от 02.12.2021 №957-п О распределении субсидий из бюджета Пермского края бюджетам муниципальных образований Пермского края на 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 на 2022 год;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(в ред. 24.02.2021 № 181)</t>
  </si>
  <si>
    <t>01.01.2022-31.12.2022; 01.01.2022-бессрочно</t>
  </si>
  <si>
    <t>2100000004</t>
  </si>
  <si>
    <t>Постановление мирового судьи по делу №5-1289/2021 от 30.11.2021г.</t>
  </si>
  <si>
    <t>30.11.2021-31.12.2022</t>
  </si>
  <si>
    <t>3296</t>
  </si>
  <si>
    <t>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</si>
  <si>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Обеспечение жильем молодых семей (10%)</t>
  </si>
  <si>
    <t>021012С020</t>
  </si>
  <si>
    <t>Постановление ППК от 01.04.2014 №215-п "О реализации мероприятий подпрограммы 1 "Социальная поддержка семей с детьми. Профилактика социального сиротства и защита прав детей-сирот" государственной программы "Социальная поддержка жителей Пермского края", утвержденной Постановлением Правительства Пермского края от 3 октября 2013 г. N 1321-п" (в ред. от 26.08.2020 №616-п)</t>
  </si>
  <si>
    <t>18.04.2014-бессрочно</t>
  </si>
  <si>
    <t>Постановление ППК от 23.12.2021 №1057-п "Об утверждении распределения иных межбюджетных трансфертов, предоставляемых бюджетам муниципальных образований Пермского края на возмещение затрат, связанных с организацией перевозки отдельных категорий граждан с использованием электронных социальных проездных документов, а также недополученных доходов юридическим лицам, индивидуальным предпринимателям от перевозки на территории Пермского края отдельных категорий граждан с использованием электронных социальных проездных документов за счет средств бюджета Пермского края, на 2022 год и на плановый период 2023-2024 годов"</t>
  </si>
  <si>
    <t>10201SЦ140</t>
  </si>
  <si>
    <t>Проведение землеустроительных и комплексных кадастровых работ</t>
  </si>
  <si>
    <t>Постановление администрации ОГО от 22.09.2020  № 814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(ред. от 10.11.2021 №1295); Постановление ППК от 29.07.2020 №556-п "О распределении субсидий из бюджета Пермского края бюджетам муниципальных образований Пермского края на разработку проектов межевания территории и проведение комплексных кадастровых работ на 2021 и 2022 годы"</t>
  </si>
  <si>
    <t>п.3; в целом</t>
  </si>
  <si>
    <t>01.01.2021-бессрочно; 29.07.2020-31.12.2022</t>
  </si>
  <si>
    <t>830</t>
  </si>
  <si>
    <t>Решение Осинского районного суда от 03.09.2021г, Дело №2-540/2021; Определение Осинского районного суда от 08.02.2022г, Дело №13-32/2022г.</t>
  </si>
  <si>
    <t>03.09.2021-31.12.2022; 08.02.2022-31.12.2022</t>
  </si>
  <si>
    <t xml:space="preserve">Разработка проектно-сметной документации </t>
  </si>
  <si>
    <t>Обеспечение сохранности, содержания и управления муниципального имущества Осинского городского округа</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</si>
  <si>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(проведение детально-инструментального обследования жилых помещений для определения технического состояния строительных конструкций)</t>
  </si>
  <si>
    <t>Ликвидация аварийного жилищного фонда (оценка выкупной стоимости жилых помещений, признанных аварийными, снятие с кадастрового учета, снос аварийных МКД)</t>
  </si>
  <si>
    <t>1500100010</t>
  </si>
  <si>
    <t>Исполнители: Бочкарева Е.П., Шеина Е.И.</t>
  </si>
  <si>
    <t>Постановление администрации ОГО от 12.10.2020 №893 "Об установлении расходного обязательства по развитию и поддержке общественных инициатив на территроии ОГО. Постановление администрации ОГО от 11.10.2021 № 1210 "Об утверждении нормативных затрат на мероприятия, предусмотренные муниципальными программами ОГО".</t>
  </si>
  <si>
    <t xml:space="preserve">в целом;                 в целом; </t>
  </si>
  <si>
    <t>01.01.2021-бессрочно; 01.01.2022-бессрочно;</t>
  </si>
  <si>
    <t>3254</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</si>
  <si>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</si>
  <si>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200002P110</t>
  </si>
  <si>
    <t>Конкурс городских и муниципальных округов Пермского края по достижению наиболее результативных значений показателей управленческой деятельности</t>
  </si>
  <si>
    <t>Постановление Правительства Пермского края от 15.02.2022 № 116-п Об итогах конкурса городских и муниципальных округов Пермского края по достижению наиболее результативных значений показателей управленческой деятельности за IV квартал 2021 года</t>
  </si>
  <si>
    <t>Основное мероприятие "Создание доступных, безопасных и комфортных условий предоставления образовательных услуг в муниципальных образовательных организациях Осинского городского округа"</t>
  </si>
  <si>
    <t>0430100000</t>
  </si>
  <si>
    <t>0310</t>
  </si>
  <si>
    <t>0501000061</t>
  </si>
  <si>
    <t>Устройство источника противопожарного водоснабжения на р.Чермода в д.В.Чермода Осинского городского округа Пермского края</t>
  </si>
  <si>
    <t>112F552430</t>
  </si>
  <si>
    <t>1120100030</t>
  </si>
  <si>
    <t>Предупреждение банкротства и восстановление платежеспособности МУП "Водоканал-Оса"</t>
  </si>
  <si>
    <t>09001SЭ240</t>
  </si>
  <si>
    <t>Строительство и реконструкция (модернизация) объектов питьевого водоснабжения</t>
  </si>
  <si>
    <t>Постановление администрации ОГО от 12.10.2020 № 896 "Об установлении расходного обязательства по развитию инфраструктуры Осинского городского округа" (ред. от 14.10.2021 №1233). Постановление администрации ОГО от 22.06.2021 г №715 "Об утверждении Порядка предоставления субсидий из бюджета Осинского городского округа в целях восстановления платежеспособности муниципальных унитарных предприятий Осинского городского округа"</t>
  </si>
  <si>
    <t>п.3.,                         в целом</t>
  </si>
  <si>
    <t>01.01.2021-бессрочно; 22.06.2021-бессрочно</t>
  </si>
  <si>
    <t>Постановление Правительства Пермского края от 15.08.2019 №565-п "Об утверждении объемов распределения субсидии и Порядка предоставления субсидии, предусмотренной на строительство и реконструкцию (модернизацию) объектов питьевого водоснабжения в рамках федерального проекта "Чистая вода", и внесении изменения в строку 16 Перечня расходных обязательств муниципальных образований Пермского края,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бюджета Пермского края, целевых показателей результативности предоставления субсидий и их значений на 2019 год и на плановый период 2020 и 2021 годов, утвержденного Постановлением Правительства Пермского края от 20 декабря 2018 г. N 814-п".(измен.от 18.04.22г №316-п). Постановление администрации ОГО от 12.10.2020 № 896 "Об установлении расходного обязательства по развитию инфраструктуры Осинского городского округа" (ред. от 14.10.2021 №1233).</t>
  </si>
  <si>
    <t>15.08.2019-бесрочно; 01.01.2021-бессрочно</t>
  </si>
  <si>
    <t>в целом;              п.3</t>
  </si>
  <si>
    <t>Мероприятия, осуществляемые органами местного самоуправления Осинского городского округа в рамках непрограммных направлений расходов</t>
  </si>
  <si>
    <t>2100000010</t>
  </si>
  <si>
    <t>Компенсация многодетным семьям взамен предоставления земельного участка</t>
  </si>
  <si>
    <t>11301SЖ520</t>
  </si>
  <si>
    <t>Улучшение качества систем теплоснабжения на территориях муниципальных образований Пермского края</t>
  </si>
  <si>
    <t>Реализация мероприятий по предотвращению распространения и уничтожению борщевика Сосновского в муниципальных образованиях Пермского края</t>
  </si>
  <si>
    <t>09001SУ200</t>
  </si>
  <si>
    <t>Постановление ППК от 18.04.2022 № 317-п "О внесении изменений в постановление ППК от 13 мая 2020 г. N 312-п "Об утверждении распределения субсидий из бюджета Пермского края бюджетам муниципальных образований Пермского края на реализацию мероприятий по предотвращению распространения и уничтожению борщевика Сосновского в муниципальных образованиях Пермского края на 2020-2023 годы"</t>
  </si>
  <si>
    <t>18.04.2022-31.12.2023</t>
  </si>
  <si>
    <t>321</t>
  </si>
  <si>
    <t>0720100010</t>
  </si>
  <si>
    <t>Устройство и строительство новых спортивных объектов и сооружений</t>
  </si>
  <si>
    <t>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(в ред. 24.02.2021 № 181); постановление администрации ОГО от 07.07.2022 №1054 "Об утверждении инвестиционного проекта "Изготовление проектно-сметной документации "Строительство межшкольного стадиона в г.Оса, ул.Мира"</t>
  </si>
  <si>
    <t>п.3, 4; в целом</t>
  </si>
  <si>
    <t xml:space="preserve">01.01.2022-бессрочно; 07.07.2022-бессрочно </t>
  </si>
  <si>
    <t>0120100030</t>
  </si>
  <si>
    <t>0420100013</t>
  </si>
  <si>
    <t>Реализация дополнительных общеразвивающих программ (МБУ ДО "ЦДТ"- персонифицированное финансирование)</t>
  </si>
  <si>
    <t>Проведение работ по ремонту помещений общеобразовательных организаций для размещения дошкольных групп и пришкольных интернатов</t>
  </si>
  <si>
    <t>04301SH310</t>
  </si>
  <si>
    <t>0430100030</t>
  </si>
  <si>
    <t>Приобретение материальных запасов для подготовки к зиме (приобретение угля МБОУ СОШ№1)</t>
  </si>
  <si>
    <t>Подпрограмма "Приведение образовательных организаций Осинского городского округа в нормативное состояние"</t>
  </si>
  <si>
    <t>Постановление администрации ОГО от 14.10.2021 № 1234 "Об установлении расходного обязательства по вопросам местного значения в сфере предпринимательства и сельского хозяйства";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t>
  </si>
  <si>
    <t>раздел 6 п. 6.1                         п. 3;                         в целом</t>
  </si>
  <si>
    <t>26.07.2022-бессрочно                       01.01.2022-бессрочно 01.01.2022-бессрочно</t>
  </si>
  <si>
    <t>Постановление ППК от 24.12.2019 N 969-п "Об утверждении Порядка предоставления и расходования иных межбюджетных трансфертов из бюджета Пермского края бюджетам муниципальных образований Пермского края на оснащение оборудованием муниципальных образовательных организаций, реализующих программы дошкольного образования, в соответствии с требованиями федерального государственного образовательного стандарта дошкольного образования"(ред. от 14.10.2021 №766-п)</t>
  </si>
  <si>
    <t>27.12.2019-бессрочно</t>
  </si>
  <si>
    <t xml:space="preserve"> 01.01.2022-31.12.2024</t>
  </si>
  <si>
    <t>Постановление администрации ОГО от 13.10.2021 № 1223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2022 год
и плановый период 2023 и 2024 годы" (ред. от 28.06.2022 №1005)</t>
  </si>
  <si>
    <t>Постановление администрации ОГО от 08.02.2022 № 152 "Об утверждении Положения об организации отдыха детей в каникулярное время в образовательных и иных организациях Осинского городского округа"</t>
  </si>
  <si>
    <t xml:space="preserve"> п.5.1</t>
  </si>
  <si>
    <t>10.02.2022-бессрочно</t>
  </si>
  <si>
    <t>п.5;                         в целом; в целом</t>
  </si>
  <si>
    <t>30.06.2020-бессрочно; 08.06.2020-бессрочно 28.06.2022-31.12.2024</t>
  </si>
  <si>
    <t xml:space="preserve">Решение Думы ОГО от 13.12.2019 № 79 "Об утверждении Порядка материально – технического и организационного обеспечения деятельности органов местного самоуправления Осинского городского округа". Постановление администрации ОГО от 28.06.2022 №1003 " Об утверждении нормативных затрат на 2022-2024 годы по обеспечению функций органов местного самоуправления Осинского городского округа и их отраслевых органов </t>
  </si>
  <si>
    <t>13.12.2019-бессрочно 28.06.2022-31.12.2024</t>
  </si>
  <si>
    <t>01.01.2021-бессрочно 08.06.2020-бессрочно 28.06.2022-31.12.2024</t>
  </si>
  <si>
    <t xml:space="preserve"> Постановление администрации ОГО от 30.09.2020 № 848 "Об утверждении Положения о системе оплаты труда работников муниципального казенного учреждения "Осинский центр бухгалтерского учета". (ред. от 22.06.2021 №714); Постановление администрации ОГО от 08.06.2020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 Постановление администрации ОГО от 28.06.2022 №1003 "Об утверждении нормативных затрат на 2022-2024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</si>
  <si>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Постановление администрации ОГО от 30.12.2020 № 1379 "Об утверждении Положения о системе оплаты труда работников муниципального казенного учреждения"Транспортник". Постановление администрации ОГО от 08.06.2020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 Постановление администрации ОГО от 28.06.2022 №1003 "Об утверждении нормативных затрат на 2022-2024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</si>
  <si>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округа";Постановление администрации ОГО от 28.06.2022 №1003 "Об утверждении нормативных затрат на 2022-2024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</si>
  <si>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01.01.2022-бессрочно 24.06.2022-31.12.2024</t>
  </si>
  <si>
    <t>Реализация основных общеобразовательных программ основного общего образования (предоставление общедоступного и бесплатного дошкольного, начального, основного общего образования для обучающихся с ограниченными возможностями здоровья в отдельных муниципальных общеобразовательных организациях, осуществляющих образовательную деятельность по адаптированным основным общеобразовательным программам) (Коррекционная школа)</t>
  </si>
  <si>
    <t>Организация и осуществление перевозок обучающихся, проживающих на территории округа, иными организациями</t>
  </si>
  <si>
    <t>Осуществление перевозок обучающихся, проживающих на территории округа</t>
  </si>
  <si>
    <t>Создание условий для привлечения в систему образования педагогических работников</t>
  </si>
  <si>
    <t>Организация подвоза детей для участия в мероприятиях муниципального и регионального, всероссийского уровней</t>
  </si>
  <si>
    <t>Повышение уровня безопасности граждан в повседневной жизни (повышение уровня общей защищенности граждан) - осуществление муниципального контроля</t>
  </si>
  <si>
    <t>Повышение уровня безопасности граждан в повседневной жизни (повышение уровня общей защищенности граждан) - проведение работ по акарицидной обработке открытых территорий общего пользования и дератизации  объектов в эпидемической сезон</t>
  </si>
  <si>
    <t xml:space="preserve">Создание условий для развития МБУ "СШ имени В.А.Лобанова" </t>
  </si>
  <si>
    <t>Создание условий для развития МАУ "СШ"</t>
  </si>
  <si>
    <t>Резервный фонд администрации Осинского городского округа</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</si>
  <si>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30.06.2022 №1020); </t>
  </si>
  <si>
    <t xml:space="preserve">01.04.2022-бессрочно </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</si>
  <si>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30.06.2022 №1020);  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администрации ОГО от 28.06.2022 №1003 "Об утверждении нормативных затрат на 2022-2024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</si>
  <si>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в целом                         п.3; в целом</t>
  </si>
  <si>
    <t>01.04.2022-бессрочно  01.01.2022-бессрочно 28.06.2022-31.12.2024</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</si>
  <si>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30.06.2022 №1020);  ; Постановление администрации ОГО от 28.06.2022 №1003 "Об утверждении нормативных затрат на 2022-2024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</si>
  <si>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01.04.2020-бессрочно 28.06.2022-31.12.2024</t>
  </si>
  <si>
    <t xml:space="preserve"> Постановление администрации ОГО от 31.03.2022 №464 "Об утверждении положения об оплате труда работников муниципального казенного учреждения "Гражданская защита"(ред.от 30.06.2022 №1020);  Постановление администрации ОГО от 15.10.2021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администрации ОГО от 08.06.2020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 Постановление администрации ОГО от 28.06.2022 №1003 "Об утверждении нормативных затрат на 2022-2024 годы по обеспечению функций органов местного самоуправления Осинского городского округа, их отраслевых органов и подведомственных им казенных учреждений"</t>
  </si>
  <si>
    <t>в целом;                      п.3;                         в целом; в целом</t>
  </si>
  <si>
    <t>01.04.2022-бессрочно  01.01.2020-бессрочно 08.06.2020-бессрочно 28.06.2022-31.12.2024</t>
  </si>
  <si>
    <t xml:space="preserve">Постановление администрации ОГО от 26.07.2022 № 1138 "Об утверждении Положения о системе подготовки населения в области гражданской обороны,защиты населенияи территорий от чрезвычайных ситуаций природного и техногенного характера на территории ОГО"; Постановление администрации ОГО от 15.10.2021 № 1238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администрации ОГО от 11.10.2021 № 1210 "Об утверждении нормативных затрат на мероприятия, предусмотренные муниципальными программами ОГО" (ред. от 07.04.2022 №507) </t>
  </si>
  <si>
    <t>Постановление администрации ОГО от 12.10.2020 №893 "Об установлении расходного обязательства по развитию и поддержке общественных инициатив на территории Осинского городского округа"; Постановление ППК от 10.01.2017 № 6-п "Об утверждении Порядка предоставления субсидий из бюджета Пермского края бюджетам муниципальных образований Пермского края на софинансирование проектов инициативного бюджетирования в Пермском крае и Порядка проведения конкурсного отбора проектов инициативного бюджетирования краевой конкурсной комиссией инициативного бюджетирования"  (ред. от 29.06.2022 №551-п)</t>
  </si>
  <si>
    <t>19.08.2022- бессрочно;  04.11.2017-бессрочно</t>
  </si>
  <si>
    <t>Постановление администрации ОГО от 19.08.2022 № 1255 "Об утверждении Порядка предоставления и расходования субсидий из бюджета Осинского городского округа на выплату
материального стимулирования народным дружинникам за участие в мероприятиях по охране общественного порядка"; Постановление ППК от 18.10.2017 № 870-п "Об утверждении порядка предоставления и расходования субсидий из бюджета ПК бюджетам городских (сельских) поселений и городских округов ПК на выплату материального стимулирования народным дружиникам за участие в мероприятиях по охране общественного порядка" (ред. от 29.06.2022 №546-п)</t>
  </si>
  <si>
    <t>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(ред.от 06.10.2021 №1184). Постановление администрации ОГО от 11.10.2021№ 1210 "Об утверждении нормативных затрат на мероприятия, предусмотренные муниципальными программами ОГО" (ред. от 07.04.2022 №507)</t>
  </si>
  <si>
    <t>Решение Думы ОГО от 28.04.2022 №402 "Об утверждении Положения о представительских расходах и расходах на проведение мероприятий органов местного самоупраления ОГО"</t>
  </si>
  <si>
    <t>20.06.2020-бессрочно</t>
  </si>
  <si>
    <t>Решение Думы ОГО от 25.10.2019 № 36 "О денежном содержании муниципальных служащих органов местного самоуправления Осинского городского округа" (ред. от 30.11.2021 №357)</t>
  </si>
  <si>
    <t>Постановление администрации ОГО от 22.04.2020 № 87 "Об утверждении Положения об оплате труда рабочих администрации Осинского городского округа"(ред. от 30.06.2022 №1019)</t>
  </si>
  <si>
    <t>Решение Думы ОГО от 23.12.2021 № 362 "Об утверждении Положения об оплате труда лиц, замещающих муниципальные должности в органах местного самоуправленния Осинского городского округа, осуществляющих свои полномочия на постоянной основе"</t>
  </si>
  <si>
    <t xml:space="preserve">Закон Пермского края от 12.03.2007 № 18-ПК "О наделении органов местного самоуправления Пермского края полномочиями на государственную регистрацию актов гражданского состояния"  (ред. от 10.12.2021 №15-ПК) </t>
  </si>
  <si>
    <t xml:space="preserve">Закон Пермского края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(ред. 08.09.2021); Постановление ППК от 27.05.2016 N 326-п "Об утверждении порядка предоставления, расходования и возврата субвенций, передаваемых из бюджета ПК бюджетам муниципальных районов и городских округов ПК на осуществление государственных полномочий по хранению, комплектованию, учету и использованию архивных документов государственной части документов архивного фонда ПК" (ред.от 23.12.2021 №1076-п) </t>
  </si>
  <si>
    <t xml:space="preserve">Закон Пермского края от 19.12.2006 № 44-КЗ "О наделении органов местного самоуправления муниципальных районов и городских округов государственными полномочиями по образованию комисий по делам несовершеннолетних и защите их прав и организации их деятельности" (ред. от 08.12.2021 №32-ПК) </t>
  </si>
  <si>
    <t>Закон Пермского края от 30.08.2010 № 668-ПК "О наделении органов местного самоуправления Пермского края государственными полномочиями по составлению протоколов об административных правонарушениях" (ред. от 07.06.2021 №650-ПК)</t>
  </si>
  <si>
    <t xml:space="preserve">Закон Пермского края от 19.12.2006 № 44-КЗ "О наделении органов местного самоуправления муниципальных районов и городских округов государственными полномочиями по образованию комисий по делам несовершеннолетних и защите их прав и организации их деятельности"(ред. от 08.12.2021 №32-ПК) </t>
  </si>
  <si>
    <t>Решение Думы ОГО от 25.10.2019 № 36 "О денежном содержании муниципальных служащих органов местного самоуправления Осинского городского округа" (ред. от 30.11.2021 №357); Решение Думы ОГО от 23.12.2021 № 362 "Об утверждении Положения об оплате труда лиц, замещающих муниципальные должности в органах местного самоуправленния Осинского городского округа, осуществляющих свои полномочия на постоянной основе"</t>
  </si>
  <si>
    <t>статья 5; статья 5</t>
  </si>
  <si>
    <t>25.10.2019-бессрочно; 01.01.2022-бессрочно</t>
  </si>
  <si>
    <t>0430100011</t>
  </si>
  <si>
    <t>Обеспечение физической охраны частными охранными предприятиями учреждений образования</t>
  </si>
  <si>
    <t>Постановление администрации ОГО от 13.10.2021 № 1220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состояние"(ред. от 12.09.2022 №1360);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 (ред. от 22.08.2022г.№1257)</t>
  </si>
  <si>
    <t>раздел 3; п.4.4</t>
  </si>
  <si>
    <t>Постановление администрации ОГО от 13.10.2021 № 1220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состояние"(ред. от 12.09.2022 №1360);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22.08.2022г.№1257)</t>
  </si>
  <si>
    <t>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08.12.2021 №994-п);  Постановление администрации ОГО от 13.10.2021 № 1220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состояние"(ред. от 12.09.2022 №1360)</t>
  </si>
  <si>
    <t xml:space="preserve">Постановление администрации ОГО от 13.10.2021 № 1220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состояние"(ред. от 12.09.2022 №1360)  </t>
  </si>
  <si>
    <t>01.01.2022-бессрочно 05.04.2021-бесрочно</t>
  </si>
  <si>
    <r>
      <t>10.04.2015-бессрочно;   01</t>
    </r>
    <r>
      <rPr>
        <sz val="11"/>
        <color indexed="8"/>
        <rFont val="Times New Roman"/>
        <family val="1"/>
      </rPr>
      <t>.01.2022-бессрочно</t>
    </r>
  </si>
  <si>
    <t>Постановление администрации ОГО от 13.10.2021 № 1220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состояние"(ред. от 12.09.2022 №1360);  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08.12.2021 №994-п)</t>
  </si>
  <si>
    <t>01.01.2022 - бессрочно;  05.04.2015-бессрочно</t>
  </si>
  <si>
    <t>Постановление администрации ОГО от 13.10.2021 № 1220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(ред. от 12.09.2022 №1360); Постановление администрации ОГО от 05.04.2021 № 362 "Об утверждении Порядка определения объема и условия предоставления бюджетным и автономным учреждениям субсидий на иные цели из бюджета Осинского городского округа"(ред. от 22.08.2022г.№1257)</t>
  </si>
  <si>
    <t>3402</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</si>
  <si>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t>
    </r>
    <r>
      <rPr>
        <b/>
        <sz val="11"/>
        <rFont val="Times New Roman"/>
        <family val="1"/>
      </rPr>
      <t>в сельской местности)</t>
    </r>
  </si>
  <si>
    <t xml:space="preserve">Постановление ППК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(ред. от 25.11.2021 №913-п); Постановление ППК от 29.07.2020 N 563-п "О предоставлении и распределении иных межбюджетных трансфертов бюджетам муниципальных образований Пермского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федерального бюджета" (ред. от 18.08.2022 №698-п);   </t>
  </si>
  <si>
    <t xml:space="preserve">п.1; в целом;  </t>
  </si>
  <si>
    <t xml:space="preserve"> 12.06.2018-бессрочно; 31.07.2020-бессрочно; </t>
  </si>
  <si>
    <t>Постановление ППК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(ред. от 25.11.2021 №913-п)</t>
  </si>
  <si>
    <t>п.1</t>
  </si>
  <si>
    <t>12.06.2018-бессрочно</t>
  </si>
  <si>
    <t xml:space="preserve">Постановление ППК от 29.07.2020 N 563-п "О предоставлении и распределении иных межбюджетных трансфертов бюджетам муниципальных образований Пермского края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федерального бюджета" (ред. от 18.08.2022 №698-п);   </t>
  </si>
  <si>
    <t>31.07.2020-бессрочно</t>
  </si>
  <si>
    <t xml:space="preserve">Постановление ППК от 30.05.2018 №294-п "Об утверждении Порядка предоставления и расходования субвенции из бюджета Пермского края бюджетам муниципальных районов (городских округов) Пермского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(ред. от 25.11.2021 №913-п)  </t>
  </si>
  <si>
    <t xml:space="preserve">п.1; </t>
  </si>
  <si>
    <t xml:space="preserve"> 12.06.2018-бессрочно; </t>
  </si>
  <si>
    <t>0410100031</t>
  </si>
  <si>
    <t>Организация бесплатного питания обучающихся в общеобразовательных организациях Осинского городского округа, являющихся членами семей граждан Российской Федерации, призванных на военную службу по мобилизации, в т.ч. на добровольной основе, а также граждан, проходящих военную службу по контракту и принимающих участие в специальной военной операции</t>
  </si>
  <si>
    <t>приобретение имущества в муниципальную собственность</t>
  </si>
  <si>
    <t>Постановление администрации ОГО от 02.11.2022 № 1641 "Об утверждении Порядка организации  бесплатного питания обучающихся в общеобразовательных организациях Осинского городского округа, являющихся членами семей граждан Российской Федерации, призванных на военную службу по мобилизации, в т.ч. на добровольной основе, а также граждан, проходящих военную службу по контракту и принимающих участие в специальной военной операции"</t>
  </si>
  <si>
    <t>01.10.2022-бессрочно</t>
  </si>
  <si>
    <t>0430100010</t>
  </si>
  <si>
    <t>Приведение в нормативное состояние образовательных организаций</t>
  </si>
  <si>
    <t xml:space="preserve">Постановление администрации ОГО от 13.10.2021 № 1220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состояние"(ред. от 12.09.2022 №1360); </t>
  </si>
  <si>
    <t>Субсидии на финансовое обеспечение расходов, связанных с ликвидацией МУП "Управляющая компания Осинского городского поселения"</t>
  </si>
  <si>
    <t>2100000011</t>
  </si>
  <si>
    <t>Определение суда от 14.09.2022 №13-241/2022, дело №2-384/2022; Определение суда от 05.10.2022, дело №2-735/2022</t>
  </si>
  <si>
    <t>14.09.2022-31.12.2022; 05.10.2022-31.12.2022</t>
  </si>
  <si>
    <t xml:space="preserve">Постановление администрации ОГО от 02.12.2022 №1772 "Об установлении расходного обязательства и утверждении Порядка предоставленияс субсидии муниципальному унитарному предприятию "Управляющая компания Осинского городского поселения" на финансовое обеспечение затрат, связанных с ликвидацией" </t>
  </si>
  <si>
    <t>п.2.7 Порядка</t>
  </si>
  <si>
    <t>02.12.2022-бессрочно</t>
  </si>
  <si>
    <t>Расходы на исполнение судебных актов и иных обязательных платежей</t>
  </si>
  <si>
    <t>200005549F</t>
  </si>
  <si>
    <t>Поощрение за достижение показателей деятельности управленческих команд</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</si>
  <si>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(ФСР кроме капвложений)</t>
  </si>
  <si>
    <t>21000SP040</t>
  </si>
  <si>
    <t>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08.12.2021 №994-п)</t>
  </si>
  <si>
    <t>10.04.2015-бессрочно</t>
  </si>
  <si>
    <t>Определение Арбитражного суда Пермского края от 24.11.2022 №А50-17289/2022</t>
  </si>
  <si>
    <t>24.11.2022-31.12.2022</t>
  </si>
  <si>
    <t>Постановление ППК 25.12.2020 N 1030-п "Об утверждении Порядка распределения и предоставления из бюджета Пермского края бюджетам муниципальных образований Пермского края дотаций на поощрение муниципальных управленческих команд"</t>
  </si>
  <si>
    <t>28.12.2020-бессрочно</t>
  </si>
  <si>
    <t>2100000012</t>
  </si>
  <si>
    <t>Выполнение работ по оценке технического состояния общего имущества многоквартирных домов</t>
  </si>
  <si>
    <t>2528</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</si>
  <si>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</si>
  <si>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Мероприятия по вводу в эксплуатацию модульных зданий</t>
  </si>
  <si>
    <t>0902</t>
  </si>
  <si>
    <t>210002А180</t>
  </si>
  <si>
    <t>25.09.2017-бессрочно</t>
  </si>
  <si>
    <t>Администрирование отдельных государственных полномочий по поддержке сельскохозяйственного производства</t>
  </si>
  <si>
    <t>200002У110</t>
  </si>
  <si>
    <t>210002P270</t>
  </si>
  <si>
    <t>Краевой конкурс "Лучший староста сельского населенного пункта в Пермском крае"</t>
  </si>
  <si>
    <t>2100000013</t>
  </si>
  <si>
    <t>Погашение кредиторской задолженности МБ ДОУ ДС "Сказка"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</si>
  <si>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</si>
  <si>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041EВ5179F</t>
  </si>
  <si>
    <t>210A255195</t>
  </si>
  <si>
    <t>Государственная поддержка отрасли культуры (оказание государственной поддержки лучшим работникам сельских учреждений культуры)</t>
  </si>
  <si>
    <t>Единая субвенция на выполнение отдельных государственных полномочий органов государственной власти в сфере образования (разовые выплаты молодым специалистам; ежемесячное государственное пособие за многолетний добросовестный труд в сфере образования)</t>
  </si>
  <si>
    <t>Единовременная премия обучающимся, награжденным знаком отличия Пермского края "Гордость Пермского края"</t>
  </si>
  <si>
    <t>041012Н440</t>
  </si>
  <si>
    <t>Постановление ППК от 19.09.2017 N 789-п "Об утверждении Порядка предоставления иных межбюджетных трансфертов из бюджета Пермского края бюджетам муниципальных районов (муниципальных, городских округов) Пермского края на реализацию мероприятий по созданию условий осуществления медицинской деятельности в модульных зданиях"</t>
  </si>
  <si>
    <t>21.12.2022-бессрочно</t>
  </si>
  <si>
    <t>Постановление администрации ОГО от 21.12.2022 №1888 "Об установлении расходного обязательства по предупреждению возникновения и погашению обоснованной кредиторской задолженности в МБ ДОУ Д/с "Сказка".</t>
  </si>
  <si>
    <t>Постановление Правительства Пермского края от 17.11.2022 №969-п О распределении иных межбюджетных трансфертов бюджетам муниципальных образований Пермского края из бюджета Пермского края на 2022 год на выплату единовременных премий обучающимся в частных и муниципальных образовательных организациях Пермского края в 2022 году.</t>
  </si>
  <si>
    <t>17.11.2022-31.12.2022</t>
  </si>
  <si>
    <t>Постановление Правительства Пермского края от 18.03.2022 №201-п Об утверждении распределения субсидий из бюджета Пермского края, в том числе с участием средств федерального бюджета, бюджетам муниципальных образований Пермского края на поддержку отрасли культуры в целях софинансирования расходных обязательств муниципальных образований Пермского края на реализацию мероприятий муниципальных программ, предусматривающих государственную поддержку лучших работников сельских учреждений культуры и государственную поддержку лучших сельских учреждений культуры в 2022 году.</t>
  </si>
  <si>
    <t>18.03.2022-31.12.2022</t>
  </si>
  <si>
    <t>Постановление Правительства Пермского края от 27.05.2022 №440-п О распределении иных межбюджетных трансфертов из бюджета Пермского края бюджетам муниципальных образований Пермского края по итогам проведения регионального этапа краевого конкурса "Лучший староста сельского населенного пункта в Пермском крае".</t>
  </si>
  <si>
    <t>27.05.2022- 31.12.2022</t>
  </si>
  <si>
    <t>123</t>
  </si>
  <si>
    <t>в целом;                    в целом</t>
  </si>
  <si>
    <t>01.09.2022-бессрочно; 22.11.2022-бессрочно</t>
  </si>
  <si>
    <t>Постановление администрации ОГО от 09.12.2022г №1830 "Об утверждении Порядка предоставления и расходования иных межбюджетных трансфертов, переданных из бюджета Пермского края бюджету Осинского городского округа с участием средств федерального бюджета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Осинского городского округа". Постановление Правительство ПК от 22 ноября 2022 г. N 978-п "О предоставлении и распределении иных межбюджетных трансфертов из бюджета ПК с участием средств федерального бюджета бюджетам муниципальных образований
ПК на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расположенных
на территории ПК".</t>
  </si>
  <si>
    <t>УТОЧНЕННЫЙ на 01.01.2023г.</t>
  </si>
  <si>
    <t>Постановление администрации ОГО от 12.10.2020 № 896 "Об установлении расходного обязательства по развитию инфраструктуры Осинского городского округа" (ред. от 14.10.2021 №1233); 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08.12.2021 №994-п);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22.09.2021 №673-п); Постановление администрации ОГО от 14.04.2022 № 555 "Об утверждении Порядка предоставления субсидии МУП "Водоканал-Оса" на устранение аварийной ситуации, связанной с порывом на канализационном коллекторе в с.Устиново, на замену участка канализационного коллектора протяженностью 250 м."; Постановление администрации ОГО от 16.12.2022 № 1865 "Об утверждении Порядка предоставления субсидии для возмещения части затрат МУП "Водоканал-Оса" за приобретенное оборудование в целях восстановления технологии очистки сточных вод"</t>
  </si>
  <si>
    <t>п.3; п.1.1; п.1.1; п.2.8 Порядка; п.2.6 Порядка</t>
  </si>
  <si>
    <t>01.01.2021-бессрочно; 10.04.2015-бессрочно; 21.11.2018-бессрочно; 14.04.2022-31.12.2022; 16.12.2022-бессрочно</t>
  </si>
  <si>
    <t>Постановление ППК от 30.11.2022 N 1018-п "Об утверждении Порядка предоставления и использования субвенций из бюджета Пермского края бюджетам городских и муниципальных округов Пермского края для осуществления отдельного государственного полномочия по планированию использования земель сельскохозяйственного назначения"</t>
  </si>
  <si>
    <t>30.11.2022-бессрочно</t>
  </si>
  <si>
    <t>Решение Думы ОГО от 28.09.2020 №228 "Об установлении расходного обязательства по предоставлению многодетным семьям с их согласия единовременной денежной выплаты взамен предоставления земельного участка в собственность бесплатно"; постановление администрации ОГО от 21.08.2020 № 635 "Об утверждении Порядка предоставления единовременной денежной выплаты многодетным семьям, состоящим на учете по месту жительства в Осинском городском округе в целях предоставления земельного участка в собственность бесплатно" (в ред. от 07.10.2021 №1202)</t>
  </si>
  <si>
    <t>28.09.2020-бессрочно; 01.01.2021-бессрочно</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</si>
</sst>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quot;р.&quot;"/>
    <numFmt numFmtId="181" formatCode="#,##0.0&quot;р.&quot;"/>
    <numFmt numFmtId="182" formatCode="0.00000"/>
    <numFmt numFmtId="183" formatCode="0.000"/>
    <numFmt numFmtId="184" formatCode="0.0000"/>
    <numFmt numFmtId="185" formatCode="#,##0.000"/>
    <numFmt numFmtId="186" formatCode="mmm/yyyy"/>
    <numFmt numFmtId="187" formatCode="#,##0.00000"/>
    <numFmt numFmtId="188" formatCode="#,##0.0000"/>
    <numFmt numFmtId="189" formatCode="#,##0.0_ ;\-#,##0.0\ "/>
    <numFmt numFmtId="190" formatCode="000000"/>
    <numFmt numFmtId="191" formatCode="#,##0.000000"/>
    <numFmt numFmtId="192" formatCode="#,##0.0000000"/>
    <numFmt numFmtId="193" formatCode="#,##0.00000000"/>
    <numFmt numFmtId="194" formatCode="#,##0.000000000"/>
    <numFmt numFmtId="195" formatCode="#,##0.0000000000"/>
    <numFmt numFmtId="196" formatCode="#,##0.000_р_."/>
  </numFmts>
  <fonts count="52">
    <font>
      <sz val="10"/>
      <name val="Arial Cyr"/>
      <family val="0"/>
    </font>
    <font>
      <sz val="11"/>
      <color indexed="8"/>
      <name val="Calibri"/>
      <family val="2"/>
    </font>
    <font>
      <sz val="8"/>
      <name val="Arial Cyr"/>
      <family val="0"/>
    </font>
    <font>
      <sz val="8"/>
      <name val="Arial"/>
      <family val="2"/>
    </font>
    <font>
      <b/>
      <sz val="14"/>
      <name val="Times New Roman"/>
      <family val="1"/>
    </font>
    <font>
      <sz val="11"/>
      <name val="Times New Roman"/>
      <family val="1"/>
    </font>
    <font>
      <b/>
      <sz val="11"/>
      <name val="Times New Roman"/>
      <family val="1"/>
    </font>
    <font>
      <sz val="10"/>
      <name val="Times New Roman"/>
      <family val="1"/>
    </font>
    <font>
      <b/>
      <sz val="10"/>
      <name val="Times New Roman"/>
      <family val="1"/>
    </font>
    <font>
      <b/>
      <sz val="12"/>
      <name val="Times New Roman"/>
      <family val="1"/>
    </font>
    <font>
      <u val="single"/>
      <sz val="7.5"/>
      <color indexed="12"/>
      <name val="Arial Cyr"/>
      <family val="0"/>
    </font>
    <font>
      <u val="single"/>
      <sz val="7.5"/>
      <color indexed="36"/>
      <name val="Arial Cyr"/>
      <family val="0"/>
    </font>
    <font>
      <sz val="12"/>
      <name val="Times New Roman"/>
      <family val="1"/>
    </font>
    <font>
      <sz val="11"/>
      <name val="Arial Cyr"/>
      <family val="0"/>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30" borderId="0">
      <alignment/>
      <protection/>
    </xf>
    <xf numFmtId="0" fontId="11"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428">
    <xf numFmtId="0" fontId="0" fillId="0" borderId="0" xfId="0" applyAlignment="1">
      <alignment/>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vertical="center" wrapText="1"/>
    </xf>
    <xf numFmtId="0" fontId="5" fillId="0" borderId="0" xfId="0" applyFont="1" applyFill="1" applyAlignment="1">
      <alignment vertical="center"/>
    </xf>
    <xf numFmtId="0" fontId="7"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53"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49" fontId="5"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49" fontId="6" fillId="0" borderId="11" xfId="0" applyNumberFormat="1" applyFont="1" applyFill="1" applyBorder="1" applyAlignment="1">
      <alignment horizontal="center" vertical="center" wrapText="1"/>
    </xf>
    <xf numFmtId="0" fontId="6" fillId="0" borderId="0" xfId="0" applyFont="1" applyFill="1" applyAlignment="1">
      <alignment vertical="center"/>
    </xf>
    <xf numFmtId="0" fontId="5" fillId="0" borderId="11" xfId="0" applyNumberFormat="1" applyFont="1" applyFill="1" applyBorder="1" applyAlignment="1">
      <alignment vertical="center" wrapText="1"/>
    </xf>
    <xf numFmtId="0" fontId="5" fillId="0" borderId="11" xfId="0" applyFont="1" applyFill="1" applyBorder="1" applyAlignment="1">
      <alignment vertical="center"/>
    </xf>
    <xf numFmtId="49" fontId="7" fillId="0" borderId="11" xfId="0" applyNumberFormat="1" applyFont="1" applyFill="1" applyBorder="1" applyAlignment="1">
      <alignment vertical="center" wrapText="1"/>
    </xf>
    <xf numFmtId="0" fontId="5" fillId="0" borderId="0" xfId="0" applyFont="1" applyFill="1" applyBorder="1" applyAlignment="1">
      <alignment vertical="center"/>
    </xf>
    <xf numFmtId="49" fontId="7"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0" borderId="13" xfId="0" applyFont="1" applyFill="1" applyBorder="1" applyAlignment="1">
      <alignment horizontal="center" wrapText="1"/>
    </xf>
    <xf numFmtId="0" fontId="7" fillId="0" borderId="0" xfId="0" applyFont="1" applyFill="1" applyAlignment="1">
      <alignment horizontal="center" vertical="top" wrapText="1"/>
    </xf>
    <xf numFmtId="49" fontId="6"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center" wrapText="1"/>
    </xf>
    <xf numFmtId="49" fontId="5" fillId="34" borderId="11" xfId="0" applyNumberFormat="1" applyFont="1" applyFill="1" applyBorder="1" applyAlignment="1">
      <alignment horizontal="center" vertical="center" wrapText="1"/>
    </xf>
    <xf numFmtId="0" fontId="7"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0" borderId="14" xfId="0" applyFont="1" applyFill="1" applyBorder="1" applyAlignment="1">
      <alignment vertical="center"/>
    </xf>
    <xf numFmtId="49" fontId="7" fillId="35" borderId="11" xfId="0" applyNumberFormat="1" applyFont="1" applyFill="1" applyBorder="1" applyAlignment="1">
      <alignment horizontal="center" vertical="center" wrapText="1"/>
    </xf>
    <xf numFmtId="0" fontId="5" fillId="0" borderId="11" xfId="0" applyFont="1" applyFill="1" applyBorder="1" applyAlignment="1">
      <alignment wrapText="1" shrinkToFit="1"/>
    </xf>
    <xf numFmtId="0" fontId="0"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35" borderId="11" xfId="0" applyNumberFormat="1" applyFont="1" applyFill="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left" vertical="center"/>
    </xf>
    <xf numFmtId="0" fontId="5" fillId="0" borderId="11" xfId="0" applyFont="1" applyBorder="1" applyAlignment="1">
      <alignment horizontal="center" vertical="center" wrapText="1"/>
    </xf>
    <xf numFmtId="0" fontId="5" fillId="0" borderId="0" xfId="0" applyFont="1" applyAlignment="1">
      <alignmen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49" fontId="5" fillId="0" borderId="11" xfId="0" applyNumberFormat="1" applyFont="1" applyFill="1" applyBorder="1" applyAlignment="1">
      <alignment vertical="center" wrapText="1"/>
    </xf>
    <xf numFmtId="0" fontId="5" fillId="14" borderId="11" xfId="0" applyFont="1" applyFill="1" applyBorder="1" applyAlignment="1">
      <alignment vertical="center"/>
    </xf>
    <xf numFmtId="0" fontId="5" fillId="14" borderId="0" xfId="0" applyFont="1" applyFill="1" applyAlignment="1">
      <alignment vertical="center"/>
    </xf>
    <xf numFmtId="0" fontId="5" fillId="35" borderId="11" xfId="0" applyFont="1" applyFill="1" applyBorder="1" applyAlignment="1">
      <alignment vertical="center"/>
    </xf>
    <xf numFmtId="0" fontId="12" fillId="0" borderId="11" xfId="0" applyFont="1" applyFill="1" applyBorder="1" applyAlignment="1">
      <alignment horizontal="left" wrapText="1" shrinkToFit="1"/>
    </xf>
    <xf numFmtId="0" fontId="5" fillId="0" borderId="11" xfId="0" applyFont="1" applyFill="1" applyBorder="1" applyAlignment="1">
      <alignment horizontal="left" wrapText="1" shrinkToFit="1"/>
    </xf>
    <xf numFmtId="0" fontId="5" fillId="0" borderId="16" xfId="0" applyFont="1" applyFill="1" applyBorder="1" applyAlignment="1">
      <alignment vertical="center"/>
    </xf>
    <xf numFmtId="0" fontId="12" fillId="0" borderId="12" xfId="0" applyFont="1" applyFill="1" applyBorder="1" applyAlignment="1">
      <alignment horizontal="left" wrapText="1" shrinkToFit="1"/>
    </xf>
    <xf numFmtId="0" fontId="5" fillId="35" borderId="12"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35" borderId="0" xfId="0" applyFont="1" applyFill="1" applyBorder="1" applyAlignment="1">
      <alignment vertical="center"/>
    </xf>
    <xf numFmtId="0" fontId="5" fillId="14" borderId="0" xfId="0" applyFont="1" applyFill="1" applyBorder="1" applyAlignment="1">
      <alignment vertical="center"/>
    </xf>
    <xf numFmtId="0" fontId="12" fillId="0" borderId="0" xfId="0" applyFont="1" applyFill="1" applyBorder="1" applyAlignment="1">
      <alignment horizontal="left" wrapText="1" shrinkToFit="1"/>
    </xf>
    <xf numFmtId="0" fontId="5" fillId="0" borderId="0" xfId="0" applyFont="1" applyBorder="1" applyAlignment="1">
      <alignment vertical="center"/>
    </xf>
    <xf numFmtId="0" fontId="0" fillId="0" borderId="11" xfId="0" applyFont="1" applyFill="1" applyBorder="1" applyAlignment="1">
      <alignment vertical="center" wrapText="1"/>
    </xf>
    <xf numFmtId="0" fontId="5" fillId="0" borderId="11" xfId="0" applyFont="1" applyBorder="1" applyAlignment="1">
      <alignment vertical="center"/>
    </xf>
    <xf numFmtId="0" fontId="5" fillId="0" borderId="11" xfId="0" applyFont="1" applyBorder="1" applyAlignment="1">
      <alignment horizontal="center" vertical="center"/>
    </xf>
    <xf numFmtId="49" fontId="12" fillId="0" borderId="11" xfId="0" applyNumberFormat="1" applyFont="1" applyFill="1" applyBorder="1" applyAlignment="1">
      <alignment horizontal="center" vertical="center" wrapText="1" shrinkToFit="1"/>
    </xf>
    <xf numFmtId="0" fontId="9"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shrinkToFit="1"/>
    </xf>
    <xf numFmtId="49" fontId="5"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left" vertical="center" wrapText="1"/>
    </xf>
    <xf numFmtId="49" fontId="6" fillId="12" borderId="11" xfId="0" applyNumberFormat="1" applyFont="1" applyFill="1" applyBorder="1" applyAlignment="1">
      <alignment horizontal="center" vertical="center" wrapText="1"/>
    </xf>
    <xf numFmtId="49" fontId="7" fillId="12" borderId="11" xfId="0" applyNumberFormat="1" applyFont="1" applyFill="1" applyBorder="1" applyAlignment="1">
      <alignment horizontal="center" vertical="center" wrapText="1"/>
    </xf>
    <xf numFmtId="0" fontId="5" fillId="12" borderId="11"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7"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center" vertical="center" wrapText="1"/>
    </xf>
    <xf numFmtId="49" fontId="5" fillId="12" borderId="11" xfId="0" applyNumberFormat="1" applyFont="1" applyFill="1" applyBorder="1" applyAlignment="1">
      <alignment vertical="center" wrapText="1"/>
    </xf>
    <xf numFmtId="49" fontId="5" fillId="12" borderId="11" xfId="0" applyNumberFormat="1" applyFont="1" applyFill="1" applyBorder="1" applyAlignment="1">
      <alignment horizontal="left" vertical="center" wrapText="1"/>
    </xf>
    <xf numFmtId="0" fontId="5" fillId="12" borderId="11" xfId="0" applyNumberFormat="1" applyFont="1" applyFill="1" applyBorder="1" applyAlignment="1">
      <alignment vertical="center" wrapText="1"/>
    </xf>
    <xf numFmtId="0" fontId="6" fillId="12" borderId="11"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1" xfId="53"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49" fontId="5" fillId="35" borderId="14" xfId="0" applyNumberFormat="1" applyFont="1" applyFill="1" applyBorder="1" applyAlignment="1">
      <alignment vertical="center" wrapText="1"/>
    </xf>
    <xf numFmtId="0" fontId="5" fillId="0" borderId="14" xfId="0" applyFont="1" applyFill="1" applyBorder="1" applyAlignment="1">
      <alignment vertical="center" wrapText="1"/>
    </xf>
    <xf numFmtId="0"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49" fontId="12" fillId="12" borderId="11" xfId="0" applyNumberFormat="1" applyFont="1" applyFill="1" applyBorder="1" applyAlignment="1">
      <alignment horizontal="center" vertical="center" wrapText="1"/>
    </xf>
    <xf numFmtId="0" fontId="7" fillId="12" borderId="11" xfId="0" applyFont="1" applyFill="1" applyBorder="1" applyAlignment="1">
      <alignment horizontal="center" vertical="center" wrapText="1"/>
    </xf>
    <xf numFmtId="49" fontId="6" fillId="34" borderId="11" xfId="0" applyNumberFormat="1" applyFont="1" applyFill="1" applyBorder="1" applyAlignment="1">
      <alignment horizontal="left" vertical="center" wrapText="1"/>
    </xf>
    <xf numFmtId="2" fontId="7" fillId="0" borderId="14" xfId="0" applyNumberFormat="1" applyFont="1" applyFill="1" applyBorder="1" applyAlignment="1">
      <alignment vertical="center" wrapText="1"/>
    </xf>
    <xf numFmtId="49" fontId="5" fillId="0"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12" fillId="0" borderId="14" xfId="0" applyFont="1" applyFill="1" applyBorder="1" applyAlignment="1">
      <alignment wrapText="1" shrinkToFit="1"/>
    </xf>
    <xf numFmtId="0" fontId="12" fillId="0" borderId="11" xfId="0" applyFont="1" applyFill="1" applyBorder="1" applyAlignment="1">
      <alignment wrapText="1" shrinkToFit="1"/>
    </xf>
    <xf numFmtId="0" fontId="5" fillId="0" borderId="10" xfId="0" applyFont="1" applyFill="1" applyBorder="1" applyAlignment="1">
      <alignment wrapText="1" shrinkToFit="1"/>
    </xf>
    <xf numFmtId="0" fontId="12"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12" borderId="11" xfId="0" applyFont="1" applyFill="1" applyBorder="1" applyAlignment="1">
      <alignment vertical="center" wrapText="1"/>
    </xf>
    <xf numFmtId="0" fontId="7" fillId="0" borderId="1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5" fillId="35" borderId="11" xfId="0" applyNumberFormat="1" applyFont="1" applyFill="1" applyBorder="1" applyAlignment="1">
      <alignment horizontal="left" vertical="center" wrapText="1"/>
    </xf>
    <xf numFmtId="182" fontId="5" fillId="0" borderId="0" xfId="0" applyNumberFormat="1" applyFont="1" applyFill="1" applyBorder="1" applyAlignment="1">
      <alignment vertical="center"/>
    </xf>
    <xf numFmtId="49" fontId="7" fillId="35" borderId="17" xfId="0" applyNumberFormat="1" applyFont="1" applyFill="1" applyBorder="1" applyAlignment="1">
      <alignment vertical="center" wrapText="1"/>
    </xf>
    <xf numFmtId="49" fontId="5" fillId="35" borderId="17" xfId="0" applyNumberFormat="1" applyFont="1" applyFill="1" applyBorder="1" applyAlignment="1">
      <alignment vertical="center" wrapText="1"/>
    </xf>
    <xf numFmtId="0" fontId="7" fillId="0" borderId="14"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7" fillId="12" borderId="14" xfId="0" applyFont="1" applyFill="1" applyBorder="1" applyAlignment="1">
      <alignment horizontal="center" vertical="center" wrapText="1"/>
    </xf>
    <xf numFmtId="0" fontId="5" fillId="12" borderId="14" xfId="0" applyNumberFormat="1" applyFont="1" applyFill="1" applyBorder="1" applyAlignment="1">
      <alignment horizontal="center" vertical="center" wrapText="1"/>
    </xf>
    <xf numFmtId="0" fontId="5" fillId="12"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5" fillId="12" borderId="14" xfId="0" applyNumberFormat="1" applyFont="1" applyFill="1" applyBorder="1" applyAlignment="1">
      <alignment vertical="center" wrapText="1"/>
    </xf>
    <xf numFmtId="49" fontId="7" fillId="12" borderId="14" xfId="0" applyNumberFormat="1" applyFont="1" applyFill="1" applyBorder="1" applyAlignment="1">
      <alignment horizontal="center" vertical="center" wrapText="1"/>
    </xf>
    <xf numFmtId="49" fontId="5" fillId="12" borderId="14" xfId="0" applyNumberFormat="1" applyFont="1" applyFill="1" applyBorder="1" applyAlignment="1">
      <alignment horizontal="center" vertical="center" wrapText="1"/>
    </xf>
    <xf numFmtId="49" fontId="12" fillId="35" borderId="11"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left" wrapText="1"/>
    </xf>
    <xf numFmtId="0" fontId="0"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2" fontId="5" fillId="0" borderId="10" xfId="53" applyNumberFormat="1" applyFont="1" applyFill="1" applyBorder="1" applyAlignment="1">
      <alignment horizontal="left" vertical="center" wrapText="1"/>
      <protection/>
    </xf>
    <xf numFmtId="0" fontId="5" fillId="0" borderId="14" xfId="0" applyFont="1" applyBorder="1" applyAlignment="1">
      <alignment horizontal="left" vertical="center" wrapText="1"/>
    </xf>
    <xf numFmtId="0" fontId="5" fillId="0" borderId="14" xfId="0" applyFont="1" applyBorder="1" applyAlignment="1">
      <alignment vertical="center" wrapText="1"/>
    </xf>
    <xf numFmtId="0" fontId="7" fillId="0" borderId="17"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5" fillId="0" borderId="14" xfId="0" applyNumberFormat="1" applyFont="1" applyFill="1" applyBorder="1" applyAlignment="1">
      <alignment vertical="center" wrapText="1"/>
    </xf>
    <xf numFmtId="0" fontId="7" fillId="0" borderId="11" xfId="0" applyFont="1" applyFill="1" applyBorder="1" applyAlignment="1">
      <alignment vertical="center" wrapText="1"/>
    </xf>
    <xf numFmtId="49" fontId="5" fillId="35" borderId="17"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7" fillId="35" borderId="17" xfId="0" applyNumberFormat="1"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182" fontId="5"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6" fillId="34" borderId="11" xfId="0" applyFont="1" applyFill="1" applyBorder="1" applyAlignment="1">
      <alignment horizontal="left" vertical="center" wrapText="1"/>
    </xf>
    <xf numFmtId="0" fontId="0" fillId="0" borderId="14" xfId="0"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4" fillId="0" borderId="0" xfId="0" applyFont="1" applyFill="1" applyAlignment="1">
      <alignment horizontal="left"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14" fontId="5" fillId="0" borderId="14" xfId="0" applyNumberFormat="1" applyFont="1" applyBorder="1" applyAlignment="1">
      <alignment horizontal="center" vertical="center" wrapText="1"/>
    </xf>
    <xf numFmtId="0" fontId="5" fillId="35" borderId="11" xfId="0" applyFont="1" applyFill="1" applyBorder="1" applyAlignment="1">
      <alignment horizontal="center" vertical="center" wrapText="1"/>
    </xf>
    <xf numFmtId="49" fontId="5" fillId="12"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0" borderId="17" xfId="0" applyNumberFormat="1" applyFont="1" applyFill="1" applyBorder="1" applyAlignment="1">
      <alignment horizontal="left" vertical="center" wrapText="1"/>
    </xf>
    <xf numFmtId="49" fontId="5" fillId="35" borderId="10" xfId="0" applyNumberFormat="1"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0" fillId="0" borderId="14" xfId="0" applyFont="1" applyBorder="1" applyAlignment="1">
      <alignment vertical="center" wrapText="1"/>
    </xf>
    <xf numFmtId="49" fontId="7" fillId="0" borderId="17"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50" fillId="0" borderId="11" xfId="0" applyNumberFormat="1" applyFont="1" applyFill="1" applyBorder="1" applyAlignment="1">
      <alignment horizontal="center" vertical="center" wrapText="1"/>
    </xf>
    <xf numFmtId="49" fontId="51" fillId="35" borderId="11" xfId="0" applyNumberFormat="1"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0" fontId="5" fillId="35"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49" fontId="5" fillId="35" borderId="11"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6" fillId="12"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82" fontId="5" fillId="0" borderId="11" xfId="0" applyNumberFormat="1" applyFont="1" applyFill="1" applyBorder="1" applyAlignment="1">
      <alignment horizontal="center" vertical="center" wrapText="1"/>
    </xf>
    <xf numFmtId="182" fontId="5" fillId="0" borderId="0" xfId="0" applyNumberFormat="1" applyFont="1" applyFill="1" applyAlignment="1">
      <alignment vertical="center" wrapText="1"/>
    </xf>
    <xf numFmtId="49" fontId="5" fillId="35" borderId="11"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7" fillId="35" borderId="14"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4" xfId="0" applyNumberFormat="1" applyFont="1" applyFill="1" applyBorder="1" applyAlignment="1">
      <alignment vertical="center" wrapText="1"/>
    </xf>
    <xf numFmtId="182" fontId="12" fillId="0"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12" fillId="35" borderId="10" xfId="0" applyNumberFormat="1" applyFont="1" applyFill="1" applyBorder="1" applyAlignment="1">
      <alignment horizontal="center" vertical="center" wrapText="1"/>
    </xf>
    <xf numFmtId="0" fontId="5" fillId="35" borderId="11" xfId="0" applyFont="1" applyFill="1" applyBorder="1" applyAlignment="1">
      <alignment vertical="center" wrapText="1"/>
    </xf>
    <xf numFmtId="172" fontId="4" fillId="0" borderId="0" xfId="0" applyNumberFormat="1" applyFont="1" applyFill="1" applyAlignment="1">
      <alignment horizontal="center" vertical="center"/>
    </xf>
    <xf numFmtId="172" fontId="4" fillId="0" borderId="18" xfId="0" applyNumberFormat="1" applyFont="1" applyFill="1" applyBorder="1" applyAlignment="1">
      <alignment horizontal="center" vertical="center"/>
    </xf>
    <xf numFmtId="172" fontId="5" fillId="0" borderId="11" xfId="0" applyNumberFormat="1" applyFont="1" applyFill="1" applyBorder="1" applyAlignment="1" applyProtection="1">
      <alignment horizontal="center" vertical="center" wrapText="1"/>
      <protection/>
    </xf>
    <xf numFmtId="172" fontId="6" fillId="34" borderId="11" xfId="0" applyNumberFormat="1" applyFont="1" applyFill="1" applyBorder="1" applyAlignment="1">
      <alignment horizontal="center" vertical="center" wrapText="1"/>
    </xf>
    <xf numFmtId="172" fontId="6" fillId="12" borderId="11" xfId="0" applyNumberFormat="1" applyFont="1" applyFill="1" applyBorder="1" applyAlignment="1">
      <alignment horizontal="center" vertical="center" wrapText="1"/>
    </xf>
    <xf numFmtId="172" fontId="5" fillId="0" borderId="11" xfId="0" applyNumberFormat="1" applyFont="1" applyFill="1" applyBorder="1" applyAlignment="1">
      <alignment horizontal="center" vertical="center" wrapText="1"/>
    </xf>
    <xf numFmtId="172" fontId="12" fillId="0" borderId="11" xfId="0" applyNumberFormat="1" applyFont="1" applyFill="1" applyBorder="1" applyAlignment="1">
      <alignment horizontal="center" vertical="center" wrapText="1"/>
    </xf>
    <xf numFmtId="172" fontId="5" fillId="0" borderId="14" xfId="0" applyNumberFormat="1" applyFont="1" applyFill="1" applyBorder="1" applyAlignment="1">
      <alignment horizontal="center" vertical="center" wrapText="1"/>
    </xf>
    <xf numFmtId="172" fontId="12" fillId="0" borderId="11" xfId="0" applyNumberFormat="1" applyFont="1" applyFill="1" applyBorder="1" applyAlignment="1">
      <alignment horizontal="center" vertical="center"/>
    </xf>
    <xf numFmtId="172" fontId="5" fillId="0" borderId="19"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xf>
    <xf numFmtId="172" fontId="9" fillId="12" borderId="11" xfId="0" applyNumberFormat="1" applyFont="1" applyFill="1" applyBorder="1" applyAlignment="1">
      <alignment horizontal="center" vertical="center"/>
    </xf>
    <xf numFmtId="172" fontId="5" fillId="0" borderId="10" xfId="0" applyNumberFormat="1" applyFont="1" applyFill="1" applyBorder="1" applyAlignment="1">
      <alignment horizontal="center" vertical="center" wrapText="1"/>
    </xf>
    <xf numFmtId="172" fontId="12" fillId="0" borderId="19" xfId="0" applyNumberFormat="1" applyFont="1" applyFill="1" applyBorder="1" applyAlignment="1">
      <alignment horizontal="center" vertical="center" wrapText="1"/>
    </xf>
    <xf numFmtId="172" fontId="12" fillId="35" borderId="11" xfId="0" applyNumberFormat="1" applyFont="1" applyFill="1" applyBorder="1" applyAlignment="1">
      <alignment horizontal="center" vertical="center"/>
    </xf>
    <xf numFmtId="172" fontId="5" fillId="0" borderId="0" xfId="0" applyNumberFormat="1" applyFont="1" applyFill="1" applyAlignment="1">
      <alignment horizontal="right" vertical="center" wrapText="1"/>
    </xf>
    <xf numFmtId="172" fontId="5" fillId="0" borderId="18" xfId="0" applyNumberFormat="1" applyFont="1" applyFill="1" applyBorder="1" applyAlignment="1">
      <alignment horizontal="right" vertical="center" wrapText="1"/>
    </xf>
    <xf numFmtId="172" fontId="5" fillId="0" borderId="0" xfId="0" applyNumberFormat="1" applyFont="1" applyFill="1" applyAlignment="1">
      <alignment vertical="center"/>
    </xf>
    <xf numFmtId="172"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NumberFormat="1" applyFont="1" applyFill="1" applyBorder="1" applyAlignment="1">
      <alignment horizontal="center" vertical="center" wrapText="1"/>
    </xf>
    <xf numFmtId="0" fontId="5" fillId="12" borderId="14" xfId="0" applyFont="1" applyFill="1" applyBorder="1" applyAlignment="1">
      <alignment horizontal="left" vertical="center" wrapText="1"/>
    </xf>
    <xf numFmtId="49" fontId="5" fillId="35" borderId="11"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left" vertical="center" wrapText="1"/>
    </xf>
    <xf numFmtId="172" fontId="12" fillId="35"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shrinkToFit="1"/>
    </xf>
    <xf numFmtId="172" fontId="6"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172" fontId="12" fillId="35" borderId="14" xfId="0" applyNumberFormat="1" applyFont="1" applyFill="1" applyBorder="1" applyAlignment="1">
      <alignment horizontal="center" vertical="center"/>
    </xf>
    <xf numFmtId="0" fontId="7" fillId="35"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6" borderId="0" xfId="0" applyFont="1" applyFill="1" applyAlignment="1">
      <alignment vertical="center"/>
    </xf>
    <xf numFmtId="179" fontId="5" fillId="12"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172" fontId="5" fillId="0" borderId="0" xfId="0" applyNumberFormat="1" applyFont="1" applyFill="1" applyAlignment="1">
      <alignment horizontal="right" vertical="center"/>
    </xf>
    <xf numFmtId="49" fontId="5" fillId="35"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182" fontId="5" fillId="0" borderId="11" xfId="0" applyNumberFormat="1" applyFont="1" applyFill="1" applyBorder="1" applyAlignment="1">
      <alignment horizontal="left" vertical="center" wrapText="1"/>
    </xf>
    <xf numFmtId="0" fontId="0" fillId="0" borderId="17" xfId="0"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17" xfId="0" applyFont="1" applyBorder="1" applyAlignment="1">
      <alignment horizontal="center" vertical="center" wrapText="1"/>
    </xf>
    <xf numFmtId="49" fontId="5" fillId="35" borderId="11"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172" fontId="12" fillId="35" borderId="10"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5" fillId="36" borderId="14" xfId="0" applyFont="1" applyFill="1" applyBorder="1" applyAlignment="1">
      <alignment horizontal="center" vertical="center" wrapText="1"/>
    </xf>
    <xf numFmtId="49" fontId="5" fillId="36"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187" fontId="5" fillId="0"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5" fillId="0" borderId="10" xfId="0" applyFont="1" applyBorder="1" applyAlignment="1">
      <alignment vertical="center" wrapText="1"/>
    </xf>
    <xf numFmtId="49" fontId="5" fillId="35"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187" fontId="5" fillId="0" borderId="0" xfId="0" applyNumberFormat="1" applyFont="1" applyFill="1" applyAlignment="1">
      <alignment horizontal="right" vertical="center" wrapText="1"/>
    </xf>
    <xf numFmtId="0" fontId="50" fillId="0" borderId="14"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172" fontId="5" fillId="35" borderId="14" xfId="0" applyNumberFormat="1" applyFont="1" applyFill="1" applyBorder="1" applyAlignment="1">
      <alignment horizontal="center" vertical="center" wrapText="1"/>
    </xf>
    <xf numFmtId="172" fontId="5" fillId="35" borderId="10" xfId="0" applyNumberFormat="1" applyFont="1" applyFill="1" applyBorder="1" applyAlignment="1">
      <alignment horizontal="center" vertical="center" wrapText="1"/>
    </xf>
    <xf numFmtId="172" fontId="12" fillId="35" borderId="19"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4" xfId="0"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49" fontId="7" fillId="35" borderId="10" xfId="0" applyNumberFormat="1" applyFont="1" applyFill="1" applyBorder="1" applyAlignment="1">
      <alignment horizontal="center" vertical="center" wrapText="1"/>
    </xf>
    <xf numFmtId="49" fontId="7" fillId="35" borderId="14"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5" fillId="35" borderId="10" xfId="0" applyNumberFormat="1" applyFont="1" applyFill="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49" fontId="7" fillId="0" borderId="10"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5" fillId="35" borderId="10"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5" fillId="0" borderId="17" xfId="0" applyNumberFormat="1" applyFont="1" applyFill="1" applyBorder="1" applyAlignment="1">
      <alignment horizontal="left" vertical="center" wrapText="1"/>
    </xf>
    <xf numFmtId="0" fontId="0" fillId="0" borderId="14" xfId="0" applyBorder="1" applyAlignment="1">
      <alignment horizontal="left" vertical="center" wrapText="1"/>
    </xf>
    <xf numFmtId="49" fontId="5" fillId="35" borderId="17"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 fontId="5" fillId="0" borderId="10" xfId="0" applyNumberFormat="1" applyFont="1" applyFill="1" applyBorder="1" applyAlignment="1">
      <alignment horizontal="left" vertical="center" wrapText="1"/>
    </xf>
    <xf numFmtId="0" fontId="0" fillId="0" borderId="14" xfId="0" applyFont="1" applyBorder="1" applyAlignment="1">
      <alignment horizontal="left" vertical="center" wrapText="1"/>
    </xf>
    <xf numFmtId="0" fontId="7" fillId="35" borderId="10" xfId="0" applyFont="1" applyFill="1" applyBorder="1" applyAlignment="1">
      <alignment horizontal="center" vertical="center" wrapText="1"/>
    </xf>
    <xf numFmtId="0" fontId="5" fillId="0" borderId="10" xfId="0" applyFont="1" applyBorder="1" applyAlignment="1">
      <alignment vertical="center" wrapText="1"/>
    </xf>
    <xf numFmtId="49" fontId="5" fillId="0" borderId="10" xfId="0" applyNumberFormat="1" applyFont="1" applyFill="1" applyBorder="1" applyAlignment="1">
      <alignment vertical="center" wrapText="1"/>
    </xf>
    <xf numFmtId="0" fontId="7" fillId="35" borderId="14"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0" fontId="5" fillId="35" borderId="14" xfId="0" applyNumberFormat="1" applyFont="1" applyFill="1" applyBorder="1" applyAlignment="1">
      <alignment horizontal="center" vertical="center" wrapText="1"/>
    </xf>
    <xf numFmtId="0" fontId="7" fillId="35" borderId="17"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shrinkToFit="1"/>
    </xf>
    <xf numFmtId="0" fontId="5" fillId="35" borderId="17" xfId="0" applyFont="1" applyFill="1" applyBorder="1" applyAlignment="1">
      <alignment horizontal="center" vertical="center" wrapText="1" shrinkToFit="1"/>
    </xf>
    <xf numFmtId="0" fontId="7" fillId="0" borderId="17"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7" xfId="0" applyNumberFormat="1" applyFont="1" applyFill="1" applyBorder="1" applyAlignment="1">
      <alignment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35" borderId="11"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172" fontId="5" fillId="35" borderId="11" xfId="0" applyNumberFormat="1" applyFont="1" applyFill="1" applyBorder="1" applyAlignment="1">
      <alignment horizontal="center" vertical="center" wrapText="1"/>
    </xf>
    <xf numFmtId="172" fontId="5" fillId="0" borderId="17" xfId="0" applyNumberFormat="1" applyFont="1" applyFill="1" applyBorder="1" applyAlignment="1">
      <alignment horizontal="center" vertical="center" wrapText="1"/>
    </xf>
    <xf numFmtId="172" fontId="5" fillId="0" borderId="14" xfId="0" applyNumberFormat="1" applyFont="1" applyFill="1" applyBorder="1" applyAlignment="1">
      <alignment horizontal="center" vertical="center" wrapText="1"/>
    </xf>
    <xf numFmtId="172" fontId="5" fillId="35" borderId="10" xfId="0" applyNumberFormat="1" applyFont="1" applyFill="1" applyBorder="1" applyAlignment="1">
      <alignment horizontal="center" vertical="center" wrapText="1"/>
    </xf>
    <xf numFmtId="172" fontId="5" fillId="35"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0" fillId="0" borderId="10" xfId="0" applyNumberFormat="1"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5" fillId="0" borderId="20" xfId="0" applyFont="1" applyFill="1" applyBorder="1" applyAlignment="1">
      <alignment horizontal="center" vertical="top"/>
    </xf>
    <xf numFmtId="0" fontId="0" fillId="0" borderId="17" xfId="0" applyFont="1" applyBorder="1" applyAlignment="1">
      <alignment horizontal="left"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7" fillId="0" borderId="17"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172" fontId="5" fillId="0" borderId="19" xfId="0" applyNumberFormat="1" applyFont="1" applyFill="1" applyBorder="1" applyAlignment="1" applyProtection="1">
      <alignment horizontal="center" vertical="center" wrapText="1"/>
      <protection/>
    </xf>
    <xf numFmtId="172"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72" fontId="5" fillId="0" borderId="0" xfId="0" applyNumberFormat="1" applyFont="1" applyFill="1" applyAlignment="1">
      <alignment horizontal="right" vertical="center"/>
    </xf>
    <xf numFmtId="0" fontId="4" fillId="0" borderId="0" xfId="0" applyFont="1" applyFill="1" applyAlignment="1">
      <alignment horizontal="center" vertical="center"/>
    </xf>
    <xf numFmtId="0" fontId="5" fillId="0" borderId="2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72" fontId="5" fillId="0" borderId="24"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172" fontId="5"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0" borderId="10" xfId="53" applyNumberFormat="1" applyFont="1" applyFill="1" applyBorder="1" applyAlignment="1">
      <alignment horizontal="left" vertical="center" wrapText="1"/>
      <protection/>
    </xf>
    <xf numFmtId="0" fontId="5" fillId="0" borderId="14" xfId="53" applyNumberFormat="1" applyFont="1" applyFill="1" applyBorder="1" applyAlignment="1">
      <alignment horizontal="left" vertical="center" wrapText="1"/>
      <protection/>
    </xf>
    <xf numFmtId="0" fontId="5" fillId="0" borderId="10" xfId="0" applyNumberFormat="1" applyFont="1" applyFill="1" applyBorder="1" applyAlignment="1">
      <alignment horizontal="left" vertical="center" wrapText="1"/>
    </xf>
    <xf numFmtId="0" fontId="0" fillId="0" borderId="17" xfId="0" applyBorder="1" applyAlignment="1">
      <alignment horizontal="left" vertical="center" wrapText="1"/>
    </xf>
    <xf numFmtId="0" fontId="13" fillId="0" borderId="17" xfId="0" applyFont="1" applyBorder="1" applyAlignment="1">
      <alignment vertical="center" wrapText="1"/>
    </xf>
    <xf numFmtId="0" fontId="0" fillId="0" borderId="14" xfId="0" applyFont="1" applyBorder="1" applyAlignment="1">
      <alignment vertical="center" wrapText="1"/>
    </xf>
    <xf numFmtId="0" fontId="5" fillId="0" borderId="17" xfId="0" applyFont="1" applyFill="1" applyBorder="1" applyAlignment="1">
      <alignment vertical="center" wrapText="1"/>
    </xf>
    <xf numFmtId="0" fontId="0" fillId="0" borderId="17" xfId="0" applyFont="1" applyBorder="1" applyAlignment="1">
      <alignment vertical="center" wrapText="1"/>
    </xf>
    <xf numFmtId="182" fontId="5" fillId="0" borderId="10" xfId="0" applyNumberFormat="1" applyFont="1" applyFill="1" applyBorder="1" applyAlignment="1">
      <alignment horizontal="left" vertical="center" wrapText="1"/>
    </xf>
    <xf numFmtId="182" fontId="5" fillId="0" borderId="17"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7" fillId="35"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5" fillId="0" borderId="17" xfId="0" applyNumberFormat="1"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631"/>
  <sheetViews>
    <sheetView tabSelected="1" view="pageBreakPreview" zoomScale="80" zoomScaleNormal="60" zoomScaleSheetLayoutView="80" workbookViewId="0" topLeftCell="A485">
      <selection activeCell="J486" sqref="J486:M486"/>
    </sheetView>
  </sheetViews>
  <sheetFormatPr defaultColWidth="9.00390625" defaultRowHeight="12.75"/>
  <cols>
    <col min="1" max="1" width="7.375" style="14" customWidth="1"/>
    <col min="2" max="2" width="53.25390625" style="15" customWidth="1"/>
    <col min="3" max="3" width="15.75390625" style="14" customWidth="1"/>
    <col min="4" max="4" width="6.75390625" style="16" customWidth="1"/>
    <col min="5" max="5" width="15.125" style="16" customWidth="1"/>
    <col min="6" max="6" width="7.625" style="16" customWidth="1"/>
    <col min="7" max="7" width="62.375" style="17" customWidth="1"/>
    <col min="8" max="8" width="17.375" style="14" customWidth="1"/>
    <col min="9" max="9" width="12.00390625" style="14" customWidth="1"/>
    <col min="10" max="10" width="18.875" style="219" customWidth="1"/>
    <col min="11" max="11" width="18.25390625" style="219" customWidth="1"/>
    <col min="12" max="12" width="18.125" style="219" customWidth="1"/>
    <col min="13" max="13" width="18.125" style="220" customWidth="1"/>
    <col min="14" max="60" width="9.125" style="26" customWidth="1"/>
    <col min="61" max="16384" width="9.125" style="8" customWidth="1"/>
  </cols>
  <sheetData>
    <row r="1" spans="2:60" s="18" customFormat="1" ht="21.75" customHeight="1">
      <c r="B1" s="165" t="s">
        <v>995</v>
      </c>
      <c r="G1" s="19"/>
      <c r="J1" s="403"/>
      <c r="K1" s="403"/>
      <c r="L1" s="403"/>
      <c r="M1" s="403"/>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row>
    <row r="2" spans="2:60" s="18" customFormat="1" ht="17.25" customHeight="1">
      <c r="B2" s="165"/>
      <c r="G2" s="19"/>
      <c r="J2" s="256"/>
      <c r="K2" s="256"/>
      <c r="L2" s="256"/>
      <c r="M2" s="25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row>
    <row r="3" spans="1:60" s="18" customFormat="1" ht="18.75" customHeight="1">
      <c r="A3" s="404" t="s">
        <v>743</v>
      </c>
      <c r="B3" s="404"/>
      <c r="C3" s="404"/>
      <c r="D3" s="404"/>
      <c r="E3" s="404"/>
      <c r="F3" s="404"/>
      <c r="G3" s="404"/>
      <c r="H3" s="404"/>
      <c r="I3" s="404"/>
      <c r="J3" s="404"/>
      <c r="K3" s="404"/>
      <c r="L3" s="404"/>
      <c r="M3" s="404"/>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row>
    <row r="4" spans="1:60" s="18" customFormat="1" ht="15" customHeight="1">
      <c r="A4" s="20"/>
      <c r="B4" s="136"/>
      <c r="C4" s="20"/>
      <c r="D4" s="20"/>
      <c r="E4" s="20"/>
      <c r="F4" s="20"/>
      <c r="G4" s="20"/>
      <c r="H4" s="20"/>
      <c r="I4" s="20"/>
      <c r="J4" s="204"/>
      <c r="K4" s="204"/>
      <c r="L4" s="204"/>
      <c r="M4" s="205"/>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row>
    <row r="5" spans="1:60" s="18" customFormat="1" ht="15" customHeight="1">
      <c r="A5" s="397" t="s">
        <v>33</v>
      </c>
      <c r="B5" s="399"/>
      <c r="C5" s="317" t="s">
        <v>29</v>
      </c>
      <c r="D5" s="392" t="s">
        <v>34</v>
      </c>
      <c r="E5" s="392" t="s">
        <v>36</v>
      </c>
      <c r="F5" s="392" t="s">
        <v>35</v>
      </c>
      <c r="G5" s="397" t="s">
        <v>13</v>
      </c>
      <c r="H5" s="398"/>
      <c r="I5" s="399"/>
      <c r="J5" s="395" t="s">
        <v>30</v>
      </c>
      <c r="K5" s="407"/>
      <c r="L5" s="407"/>
      <c r="M5" s="39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row>
    <row r="6" spans="1:60" s="18" customFormat="1" ht="32.25" customHeight="1">
      <c r="A6" s="405"/>
      <c r="B6" s="406"/>
      <c r="C6" s="347"/>
      <c r="D6" s="393"/>
      <c r="E6" s="393"/>
      <c r="F6" s="393"/>
      <c r="G6" s="400"/>
      <c r="H6" s="401"/>
      <c r="I6" s="402"/>
      <c r="J6" s="395" t="s">
        <v>571</v>
      </c>
      <c r="K6" s="396"/>
      <c r="L6" s="395" t="s">
        <v>572</v>
      </c>
      <c r="M6" s="39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row>
    <row r="7" spans="1:60" s="18" customFormat="1" ht="116.25" customHeight="1">
      <c r="A7" s="400"/>
      <c r="B7" s="402"/>
      <c r="C7" s="318"/>
      <c r="D7" s="394"/>
      <c r="E7" s="394"/>
      <c r="F7" s="394"/>
      <c r="G7" s="154" t="s">
        <v>14</v>
      </c>
      <c r="H7" s="154" t="s">
        <v>15</v>
      </c>
      <c r="I7" s="154" t="s">
        <v>16</v>
      </c>
      <c r="J7" s="206" t="s">
        <v>7</v>
      </c>
      <c r="K7" s="206" t="s">
        <v>45</v>
      </c>
      <c r="L7" s="206" t="s">
        <v>31</v>
      </c>
      <c r="M7" s="206" t="s">
        <v>32</v>
      </c>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row>
    <row r="8" spans="1:60" s="18" customFormat="1" ht="30" customHeight="1">
      <c r="A8" s="154" t="s">
        <v>377</v>
      </c>
      <c r="B8" s="154" t="s">
        <v>17</v>
      </c>
      <c r="C8" s="154" t="s">
        <v>18</v>
      </c>
      <c r="D8" s="155" t="s">
        <v>19</v>
      </c>
      <c r="E8" s="155" t="s">
        <v>20</v>
      </c>
      <c r="F8" s="155" t="s">
        <v>21</v>
      </c>
      <c r="G8" s="154" t="s">
        <v>22</v>
      </c>
      <c r="H8" s="154" t="s">
        <v>23</v>
      </c>
      <c r="I8" s="154" t="s">
        <v>24</v>
      </c>
      <c r="J8" s="206" t="s">
        <v>25</v>
      </c>
      <c r="K8" s="206" t="s">
        <v>26</v>
      </c>
      <c r="L8" s="206" t="s">
        <v>27</v>
      </c>
      <c r="M8" s="206" t="s">
        <v>28</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row>
    <row r="9" spans="1:60" s="22" customFormat="1" ht="57" customHeight="1">
      <c r="A9" s="37" t="s">
        <v>113</v>
      </c>
      <c r="B9" s="38" t="s">
        <v>121</v>
      </c>
      <c r="C9" s="37"/>
      <c r="D9" s="37"/>
      <c r="E9" s="37"/>
      <c r="F9" s="39"/>
      <c r="G9" s="40"/>
      <c r="H9" s="41"/>
      <c r="I9" s="41"/>
      <c r="J9" s="207">
        <f>J10+J318+J492+J406</f>
        <v>1811014.9712600005</v>
      </c>
      <c r="K9" s="207">
        <f>K10+K318+K492+K406</f>
        <v>1760469.1289</v>
      </c>
      <c r="L9" s="207">
        <f>L10+L318+L492+L406+L511</f>
        <v>1356022.3097999997</v>
      </c>
      <c r="M9" s="207">
        <f>M10+M318+M492+M406+M511</f>
        <v>1023317.8509300001</v>
      </c>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row>
    <row r="10" spans="1:60" s="22" customFormat="1" ht="71.25" customHeight="1">
      <c r="A10" s="37" t="s">
        <v>122</v>
      </c>
      <c r="B10" s="38" t="s">
        <v>124</v>
      </c>
      <c r="C10" s="37"/>
      <c r="D10" s="37"/>
      <c r="E10" s="37"/>
      <c r="F10" s="39"/>
      <c r="G10" s="40"/>
      <c r="H10" s="41"/>
      <c r="I10" s="41"/>
      <c r="J10" s="207">
        <f>J11+J27+J49+J56+J88+J93+J96+J101+J104+J111+J129+J150+J157+J175+J182+J194+J199+J215+J234+J237+J241+J244+J264+J274+J281+J286+J293+J299+J304+J315+J289+J270+J83+J191</f>
        <v>1189699.4517200005</v>
      </c>
      <c r="K10" s="207">
        <f>K11+K27+K49+K56+K88+K93+K96+K101+K104+K111+K129+K150+K157+K175+K182+K194+K199+K215+K234+K237+K241+K244+K264+K274+K281+K286+K293+K299+K304+K315+K289+K270+K83+K191</f>
        <v>1145154.20063</v>
      </c>
      <c r="L10" s="207">
        <f>L11+L27+L49+L56+L88+L93+L96+L101+L104+L111+L129+L150+L157+L175+L182+L194+L199+L215+L234+L237+L241+L244+L264+L274+L281+L286+L293+L299+L304+L315+L289+L270+L83+L191</f>
        <v>776475.4365799999</v>
      </c>
      <c r="M10" s="207">
        <f>M11+M27+M49+M56+M88+M93+M96+M101+M104+M111+M129+M150+M157+M175+M182+M194+M199+M215+M234+M237+M241+M244+M264+M274+M281+M286+M293+M299+M304+M315+M289+M270+M83+M191</f>
        <v>436221.84721000004</v>
      </c>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row>
    <row r="11" spans="1:13" ht="45" customHeight="1">
      <c r="A11" s="78" t="s">
        <v>133</v>
      </c>
      <c r="B11" s="79" t="s">
        <v>132</v>
      </c>
      <c r="C11" s="78"/>
      <c r="D11" s="80"/>
      <c r="E11" s="80"/>
      <c r="F11" s="78"/>
      <c r="G11" s="81"/>
      <c r="H11" s="80"/>
      <c r="I11" s="80"/>
      <c r="J11" s="208">
        <f>J12</f>
        <v>15450.84319</v>
      </c>
      <c r="K11" s="208">
        <f>K12</f>
        <v>15449.65919</v>
      </c>
      <c r="L11" s="208">
        <f>L12</f>
        <v>6358.222249999999</v>
      </c>
      <c r="M11" s="208">
        <f>M12</f>
        <v>3855.64805</v>
      </c>
    </row>
    <row r="12" spans="1:62" ht="45" customHeight="1">
      <c r="A12" s="57"/>
      <c r="B12" s="23" t="s">
        <v>165</v>
      </c>
      <c r="C12" s="2"/>
      <c r="D12" s="10"/>
      <c r="E12" s="10" t="s">
        <v>67</v>
      </c>
      <c r="F12" s="10"/>
      <c r="G12" s="10"/>
      <c r="H12" s="10"/>
      <c r="I12" s="10"/>
      <c r="J12" s="209">
        <f>J13+J22</f>
        <v>15450.84319</v>
      </c>
      <c r="K12" s="209">
        <f>K13+K22</f>
        <v>15449.65919</v>
      </c>
      <c r="L12" s="209">
        <f>L13+L22</f>
        <v>6358.222249999999</v>
      </c>
      <c r="M12" s="209">
        <f>M13+M22</f>
        <v>3855.64805</v>
      </c>
      <c r="BI12" s="26"/>
      <c r="BJ12" s="26"/>
    </row>
    <row r="13" spans="1:62" ht="30" customHeight="1">
      <c r="A13" s="57"/>
      <c r="B13" s="11" t="s">
        <v>420</v>
      </c>
      <c r="C13" s="2"/>
      <c r="D13" s="10"/>
      <c r="E13" s="10" t="s">
        <v>68</v>
      </c>
      <c r="F13" s="10"/>
      <c r="G13" s="10"/>
      <c r="H13" s="10"/>
      <c r="I13" s="10"/>
      <c r="J13" s="209">
        <f>J14+J21</f>
        <v>11721.21436</v>
      </c>
      <c r="K13" s="209">
        <f>K14+K21</f>
        <v>11720.03036</v>
      </c>
      <c r="L13" s="209">
        <f>L14+L21</f>
        <v>2807.2580499999995</v>
      </c>
      <c r="M13" s="209">
        <f>M14+M21</f>
        <v>2807.2580499999995</v>
      </c>
      <c r="BI13" s="26"/>
      <c r="BJ13" s="26"/>
    </row>
    <row r="14" spans="1:62" ht="45" customHeight="1">
      <c r="A14" s="57"/>
      <c r="B14" s="50" t="s">
        <v>421</v>
      </c>
      <c r="C14" s="2"/>
      <c r="D14" s="106"/>
      <c r="E14" s="106" t="s">
        <v>166</v>
      </c>
      <c r="F14" s="106"/>
      <c r="G14" s="93"/>
      <c r="H14" s="2"/>
      <c r="I14" s="2"/>
      <c r="J14" s="209">
        <f>SUM(J15:J20)</f>
        <v>9192.79706</v>
      </c>
      <c r="K14" s="209">
        <f>SUM(K15:K20)</f>
        <v>9192.79706</v>
      </c>
      <c r="L14" s="209">
        <f>SUM(L15:L20)</f>
        <v>2632.2740499999995</v>
      </c>
      <c r="M14" s="209">
        <f>SUM(M15:M20)</f>
        <v>2632.2740499999995</v>
      </c>
      <c r="BI14" s="26"/>
      <c r="BJ14" s="26"/>
    </row>
    <row r="15" spans="1:62" ht="19.5" customHeight="1">
      <c r="A15" s="316"/>
      <c r="B15" s="376" t="s">
        <v>167</v>
      </c>
      <c r="C15" s="163" t="s">
        <v>419</v>
      </c>
      <c r="D15" s="106" t="s">
        <v>9</v>
      </c>
      <c r="E15" s="106" t="s">
        <v>168</v>
      </c>
      <c r="F15" s="106" t="s">
        <v>38</v>
      </c>
      <c r="G15" s="387" t="s">
        <v>748</v>
      </c>
      <c r="H15" s="316" t="s">
        <v>44</v>
      </c>
      <c r="I15" s="316" t="s">
        <v>381</v>
      </c>
      <c r="J15" s="210">
        <f>7959.54298-572.2-40.5-28.88301+1.234+13.052+249.52877+1226.85603</f>
        <v>8808.63077</v>
      </c>
      <c r="K15" s="210">
        <f>5763.10441+270+46.4+165.961+858.26862+50+35.616+123.42+185.19423-110.62128-40.5-28.88301+1.234+13.052+249.52877+1226.85603</f>
        <v>8808.63077</v>
      </c>
      <c r="L15" s="210">
        <v>2585.28305</v>
      </c>
      <c r="M15" s="210">
        <v>2585.28305</v>
      </c>
      <c r="BI15" s="26"/>
      <c r="BJ15" s="26"/>
    </row>
    <row r="16" spans="1:62" ht="16.5" customHeight="1">
      <c r="A16" s="320"/>
      <c r="B16" s="378"/>
      <c r="C16" s="163" t="s">
        <v>419</v>
      </c>
      <c r="D16" s="106" t="s">
        <v>9</v>
      </c>
      <c r="E16" s="106" t="s">
        <v>168</v>
      </c>
      <c r="F16" s="106" t="s">
        <v>39</v>
      </c>
      <c r="G16" s="388"/>
      <c r="H16" s="319"/>
      <c r="I16" s="319"/>
      <c r="J16" s="209">
        <f>63.723+110.62128-13.052</f>
        <v>161.29228</v>
      </c>
      <c r="K16" s="209">
        <f>63.723+110.62128-13.052</f>
        <v>161.29228</v>
      </c>
      <c r="L16" s="209">
        <v>0</v>
      </c>
      <c r="M16" s="209">
        <v>0</v>
      </c>
      <c r="BI16" s="26"/>
      <c r="BJ16" s="26"/>
    </row>
    <row r="17" spans="1:62" ht="48.75" customHeight="1">
      <c r="A17" s="94"/>
      <c r="B17" s="99" t="s">
        <v>171</v>
      </c>
      <c r="C17" s="163" t="s">
        <v>419</v>
      </c>
      <c r="D17" s="106" t="s">
        <v>9</v>
      </c>
      <c r="E17" s="106" t="s">
        <v>172</v>
      </c>
      <c r="F17" s="106" t="s">
        <v>38</v>
      </c>
      <c r="G17" s="388"/>
      <c r="H17" s="319"/>
      <c r="I17" s="319"/>
      <c r="J17" s="209">
        <v>33.816</v>
      </c>
      <c r="K17" s="209">
        <v>33.816</v>
      </c>
      <c r="L17" s="209">
        <v>33.816</v>
      </c>
      <c r="M17" s="209">
        <v>33.816</v>
      </c>
      <c r="BI17" s="26"/>
      <c r="BJ17" s="26"/>
    </row>
    <row r="18" spans="1:62" ht="36.75" customHeight="1">
      <c r="A18" s="94"/>
      <c r="B18" s="99" t="s">
        <v>422</v>
      </c>
      <c r="C18" s="163" t="s">
        <v>419</v>
      </c>
      <c r="D18" s="106" t="s">
        <v>9</v>
      </c>
      <c r="E18" s="106" t="s">
        <v>424</v>
      </c>
      <c r="F18" s="106" t="s">
        <v>38</v>
      </c>
      <c r="G18" s="388"/>
      <c r="H18" s="319"/>
      <c r="I18" s="319"/>
      <c r="J18" s="209">
        <v>6.2</v>
      </c>
      <c r="K18" s="209">
        <v>6.2</v>
      </c>
      <c r="L18" s="209">
        <v>6.2</v>
      </c>
      <c r="M18" s="209">
        <v>6.2</v>
      </c>
      <c r="BI18" s="26"/>
      <c r="BJ18" s="26"/>
    </row>
    <row r="19" spans="1:62" ht="19.5" customHeight="1">
      <c r="A19" s="94"/>
      <c r="B19" s="99" t="s">
        <v>423</v>
      </c>
      <c r="C19" s="163" t="s">
        <v>419</v>
      </c>
      <c r="D19" s="106" t="s">
        <v>9</v>
      </c>
      <c r="E19" s="106" t="s">
        <v>425</v>
      </c>
      <c r="F19" s="106" t="s">
        <v>38</v>
      </c>
      <c r="G19" s="388"/>
      <c r="H19" s="319"/>
      <c r="I19" s="319"/>
      <c r="J19" s="209">
        <v>6.975</v>
      </c>
      <c r="K19" s="209">
        <v>6.975</v>
      </c>
      <c r="L19" s="209">
        <v>6.975</v>
      </c>
      <c r="M19" s="209">
        <v>6.975</v>
      </c>
      <c r="BI19" s="26"/>
      <c r="BJ19" s="26"/>
    </row>
    <row r="20" spans="1:62" ht="36.75" customHeight="1">
      <c r="A20" s="94"/>
      <c r="B20" s="99" t="s">
        <v>937</v>
      </c>
      <c r="C20" s="276" t="s">
        <v>419</v>
      </c>
      <c r="D20" s="277" t="s">
        <v>9</v>
      </c>
      <c r="E20" s="277" t="s">
        <v>531</v>
      </c>
      <c r="F20" s="277" t="s">
        <v>38</v>
      </c>
      <c r="G20" s="388"/>
      <c r="H20" s="319"/>
      <c r="I20" s="319"/>
      <c r="J20" s="209">
        <f>147+28.88301</f>
        <v>175.88301</v>
      </c>
      <c r="K20" s="209">
        <f>147+28.88301</f>
        <v>175.88301</v>
      </c>
      <c r="L20" s="209">
        <v>0</v>
      </c>
      <c r="M20" s="209">
        <v>0</v>
      </c>
      <c r="BI20" s="26"/>
      <c r="BJ20" s="26"/>
    </row>
    <row r="21" spans="1:62" ht="21.75" customHeight="1">
      <c r="A21" s="57"/>
      <c r="B21" s="7" t="s">
        <v>521</v>
      </c>
      <c r="C21" s="163" t="s">
        <v>419</v>
      </c>
      <c r="D21" s="106" t="s">
        <v>9</v>
      </c>
      <c r="E21" s="106" t="s">
        <v>520</v>
      </c>
      <c r="F21" s="106" t="s">
        <v>38</v>
      </c>
      <c r="G21" s="389"/>
      <c r="H21" s="320"/>
      <c r="I21" s="320"/>
      <c r="J21" s="209">
        <f>174.984+2112.923+84.6+72.5453+32.365+20+31</f>
        <v>2528.417299999999</v>
      </c>
      <c r="K21" s="209">
        <f>174.984+2112.923+84.6+72.5453+32.365+20+31-1.184</f>
        <v>2527.233299999999</v>
      </c>
      <c r="L21" s="209">
        <v>174.984</v>
      </c>
      <c r="M21" s="209">
        <v>174.984</v>
      </c>
      <c r="BI21" s="26"/>
      <c r="BJ21" s="26"/>
    </row>
    <row r="22" spans="1:62" ht="30" customHeight="1">
      <c r="A22" s="2"/>
      <c r="B22" s="11" t="s">
        <v>426</v>
      </c>
      <c r="C22" s="2"/>
      <c r="D22" s="10"/>
      <c r="E22" s="10" t="s">
        <v>69</v>
      </c>
      <c r="F22" s="10"/>
      <c r="G22" s="104"/>
      <c r="H22" s="10"/>
      <c r="I22" s="10"/>
      <c r="J22" s="222">
        <f>J24+J25+J26+J23</f>
        <v>3729.6288299999997</v>
      </c>
      <c r="K22" s="251">
        <f>SUM(K23:K26)</f>
        <v>3729.62883</v>
      </c>
      <c r="L22" s="222">
        <f>L24+L25+L26+L23</f>
        <v>3550.9642</v>
      </c>
      <c r="M22" s="222">
        <f>M24+M25+M26+M23</f>
        <v>1048.39</v>
      </c>
      <c r="BI22" s="26"/>
      <c r="BJ22" s="26"/>
    </row>
    <row r="23" spans="1:62" ht="24" customHeight="1">
      <c r="A23" s="316"/>
      <c r="B23" s="376" t="s">
        <v>173</v>
      </c>
      <c r="C23" s="176" t="s">
        <v>419</v>
      </c>
      <c r="D23" s="106" t="s">
        <v>9</v>
      </c>
      <c r="E23" s="106" t="s">
        <v>174</v>
      </c>
      <c r="F23" s="106" t="s">
        <v>38</v>
      </c>
      <c r="G23" s="391" t="s">
        <v>794</v>
      </c>
      <c r="H23" s="390" t="s">
        <v>795</v>
      </c>
      <c r="I23" s="390" t="s">
        <v>796</v>
      </c>
      <c r="J23" s="278">
        <f>21.7+40.5</f>
        <v>62.2</v>
      </c>
      <c r="K23" s="313">
        <f>21.7+40.5</f>
        <v>62.2</v>
      </c>
      <c r="L23" s="313">
        <v>21.7</v>
      </c>
      <c r="M23" s="313">
        <v>21.7</v>
      </c>
      <c r="BI23" s="26"/>
      <c r="BJ23" s="26"/>
    </row>
    <row r="24" spans="1:62" ht="24" customHeight="1">
      <c r="A24" s="320"/>
      <c r="B24" s="378"/>
      <c r="C24" s="163" t="s">
        <v>419</v>
      </c>
      <c r="D24" s="106" t="s">
        <v>8</v>
      </c>
      <c r="E24" s="106" t="s">
        <v>174</v>
      </c>
      <c r="F24" s="106" t="s">
        <v>38</v>
      </c>
      <c r="G24" s="391"/>
      <c r="H24" s="390"/>
      <c r="I24" s="390"/>
      <c r="J24" s="222">
        <f>762.5+150+50</f>
        <v>962.5</v>
      </c>
      <c r="K24" s="313">
        <f>762.5+150+50</f>
        <v>962.5</v>
      </c>
      <c r="L24" s="313">
        <v>762.5</v>
      </c>
      <c r="M24" s="313">
        <v>762.5</v>
      </c>
      <c r="BI24" s="26"/>
      <c r="BJ24" s="26"/>
    </row>
    <row r="25" spans="1:62" ht="36" customHeight="1">
      <c r="A25" s="169"/>
      <c r="B25" s="7" t="s">
        <v>793</v>
      </c>
      <c r="C25" s="163" t="s">
        <v>419</v>
      </c>
      <c r="D25" s="106" t="s">
        <v>8</v>
      </c>
      <c r="E25" s="10" t="s">
        <v>792</v>
      </c>
      <c r="F25" s="106" t="s">
        <v>38</v>
      </c>
      <c r="G25" s="391"/>
      <c r="H25" s="390"/>
      <c r="I25" s="390"/>
      <c r="J25" s="222">
        <f>342.11083+1938.628</f>
        <v>2280.73883</v>
      </c>
      <c r="K25" s="313">
        <f>342.11083+1938.628</f>
        <v>2280.73883</v>
      </c>
      <c r="L25" s="209">
        <f>375.38613+2127.18807</f>
        <v>2502.5742</v>
      </c>
      <c r="M25" s="209">
        <v>0</v>
      </c>
      <c r="BI25" s="26"/>
      <c r="BJ25" s="26"/>
    </row>
    <row r="26" spans="1:62" ht="36" customHeight="1">
      <c r="A26" s="166"/>
      <c r="B26" s="99" t="s">
        <v>175</v>
      </c>
      <c r="C26" s="167" t="s">
        <v>419</v>
      </c>
      <c r="D26" s="106" t="s">
        <v>9</v>
      </c>
      <c r="E26" s="2" t="s">
        <v>176</v>
      </c>
      <c r="F26" s="106" t="s">
        <v>38</v>
      </c>
      <c r="G26" s="391"/>
      <c r="H26" s="390"/>
      <c r="I26" s="390"/>
      <c r="J26" s="209">
        <f>264.19+90+70</f>
        <v>424.19</v>
      </c>
      <c r="K26" s="209">
        <f>264.19+90+70</f>
        <v>424.19</v>
      </c>
      <c r="L26" s="209">
        <v>264.19</v>
      </c>
      <c r="M26" s="209">
        <v>264.19</v>
      </c>
      <c r="BI26" s="26"/>
      <c r="BJ26" s="26"/>
    </row>
    <row r="27" spans="1:62" ht="75" customHeight="1">
      <c r="A27" s="83">
        <v>2505</v>
      </c>
      <c r="B27" s="82" t="s">
        <v>190</v>
      </c>
      <c r="C27" s="83"/>
      <c r="D27" s="83"/>
      <c r="E27" s="83"/>
      <c r="F27" s="83"/>
      <c r="G27" s="83"/>
      <c r="H27" s="83"/>
      <c r="I27" s="83"/>
      <c r="J27" s="208">
        <f>J28</f>
        <v>152167.60942</v>
      </c>
      <c r="K27" s="208">
        <f>K28</f>
        <v>134613.00623</v>
      </c>
      <c r="L27" s="208">
        <f>L28</f>
        <v>369587.56802999997</v>
      </c>
      <c r="M27" s="208">
        <f>M28</f>
        <v>18211.34</v>
      </c>
      <c r="BI27" s="26"/>
      <c r="BJ27" s="26"/>
    </row>
    <row r="28" spans="1:62" ht="30" customHeight="1">
      <c r="A28" s="100"/>
      <c r="B28" s="99" t="s">
        <v>192</v>
      </c>
      <c r="C28" s="4"/>
      <c r="D28" s="4"/>
      <c r="E28" s="100">
        <v>1100000000</v>
      </c>
      <c r="F28" s="100"/>
      <c r="G28" s="100"/>
      <c r="H28" s="100"/>
      <c r="I28" s="100"/>
      <c r="J28" s="209">
        <f>J29+J35+J45</f>
        <v>152167.60942</v>
      </c>
      <c r="K28" s="209">
        <f>K29+K35+K45</f>
        <v>134613.00623</v>
      </c>
      <c r="L28" s="209">
        <f>L29+L35+L45</f>
        <v>369587.56802999997</v>
      </c>
      <c r="M28" s="209">
        <f>M29+M35+M45</f>
        <v>18211.34</v>
      </c>
      <c r="BI28" s="26"/>
      <c r="BJ28" s="26"/>
    </row>
    <row r="29" spans="1:62" ht="30" customHeight="1">
      <c r="A29" s="100"/>
      <c r="B29" s="99" t="s">
        <v>191</v>
      </c>
      <c r="C29" s="4"/>
      <c r="D29" s="4"/>
      <c r="E29" s="100">
        <v>1110000000</v>
      </c>
      <c r="F29" s="100"/>
      <c r="G29" s="100"/>
      <c r="H29" s="100"/>
      <c r="I29" s="100"/>
      <c r="J29" s="209">
        <f>J31+J32+J34+J33+J30</f>
        <v>35839.11712</v>
      </c>
      <c r="K29" s="209">
        <f>K31+K32+K34+K33+K30</f>
        <v>24567.01712</v>
      </c>
      <c r="L29" s="209">
        <f>L31+L32+L34+L33+L30</f>
        <v>0</v>
      </c>
      <c r="M29" s="209">
        <f>M31+M32+M34+M33+M30</f>
        <v>12878</v>
      </c>
      <c r="BI29" s="26"/>
      <c r="BJ29" s="26"/>
    </row>
    <row r="30" spans="1:62" ht="18" customHeight="1">
      <c r="A30" s="100"/>
      <c r="B30" s="321" t="s">
        <v>800</v>
      </c>
      <c r="C30" s="4" t="s">
        <v>4</v>
      </c>
      <c r="D30" s="2" t="s">
        <v>193</v>
      </c>
      <c r="E30" s="100">
        <v>1110100010</v>
      </c>
      <c r="F30" s="100">
        <v>240</v>
      </c>
      <c r="G30" s="314" t="s">
        <v>996</v>
      </c>
      <c r="H30" s="317" t="s">
        <v>997</v>
      </c>
      <c r="I30" s="317" t="s">
        <v>998</v>
      </c>
      <c r="J30" s="209">
        <v>210</v>
      </c>
      <c r="K30" s="209">
        <v>210</v>
      </c>
      <c r="L30" s="209">
        <v>0</v>
      </c>
      <c r="M30" s="209">
        <v>0</v>
      </c>
      <c r="BI30" s="26"/>
      <c r="BJ30" s="26"/>
    </row>
    <row r="31" spans="1:62" ht="18.75" customHeight="1">
      <c r="A31" s="100"/>
      <c r="B31" s="322"/>
      <c r="C31" s="4" t="s">
        <v>4</v>
      </c>
      <c r="D31" s="2" t="s">
        <v>193</v>
      </c>
      <c r="E31" s="100">
        <v>1110100010</v>
      </c>
      <c r="F31" s="100">
        <v>410</v>
      </c>
      <c r="G31" s="386"/>
      <c r="H31" s="347"/>
      <c r="I31" s="347"/>
      <c r="J31" s="209">
        <v>11422.1</v>
      </c>
      <c r="K31" s="209">
        <v>150</v>
      </c>
      <c r="L31" s="209">
        <v>0</v>
      </c>
      <c r="M31" s="209">
        <v>0</v>
      </c>
      <c r="BI31" s="26"/>
      <c r="BJ31" s="26"/>
    </row>
    <row r="32" spans="1:62" ht="75" customHeight="1">
      <c r="A32" s="150"/>
      <c r="B32" s="99" t="s">
        <v>301</v>
      </c>
      <c r="C32" s="4" t="s">
        <v>4</v>
      </c>
      <c r="D32" s="2" t="s">
        <v>193</v>
      </c>
      <c r="E32" s="10" t="s">
        <v>303</v>
      </c>
      <c r="F32" s="150" t="s">
        <v>98</v>
      </c>
      <c r="G32" s="386"/>
      <c r="H32" s="347"/>
      <c r="I32" s="347"/>
      <c r="J32" s="209">
        <v>0</v>
      </c>
      <c r="K32" s="209">
        <v>0</v>
      </c>
      <c r="L32" s="209">
        <f>7000-1750-5250</f>
        <v>0</v>
      </c>
      <c r="M32" s="209">
        <v>12878</v>
      </c>
      <c r="BI32" s="26"/>
      <c r="BJ32" s="26"/>
    </row>
    <row r="33" spans="1:62" ht="23.25" customHeight="1">
      <c r="A33" s="229"/>
      <c r="B33" s="321" t="s">
        <v>302</v>
      </c>
      <c r="C33" s="230" t="s">
        <v>419</v>
      </c>
      <c r="D33" s="2" t="s">
        <v>193</v>
      </c>
      <c r="E33" s="10" t="s">
        <v>304</v>
      </c>
      <c r="F33" s="229" t="s">
        <v>98</v>
      </c>
      <c r="G33" s="386"/>
      <c r="H33" s="347"/>
      <c r="I33" s="347"/>
      <c r="J33" s="209">
        <v>17806.37925</v>
      </c>
      <c r="K33" s="209">
        <v>17806.37925</v>
      </c>
      <c r="L33" s="209">
        <v>0</v>
      </c>
      <c r="M33" s="209">
        <v>0</v>
      </c>
      <c r="BI33" s="26"/>
      <c r="BJ33" s="26"/>
    </row>
    <row r="34" spans="1:62" ht="30" customHeight="1">
      <c r="A34" s="228"/>
      <c r="B34" s="322"/>
      <c r="C34" s="4" t="s">
        <v>367</v>
      </c>
      <c r="D34" s="2" t="s">
        <v>193</v>
      </c>
      <c r="E34" s="10" t="s">
        <v>304</v>
      </c>
      <c r="F34" s="228" t="s">
        <v>98</v>
      </c>
      <c r="G34" s="386"/>
      <c r="H34" s="347"/>
      <c r="I34" s="347"/>
      <c r="J34" s="209">
        <v>6400.63787</v>
      </c>
      <c r="K34" s="209">
        <v>6400.63787</v>
      </c>
      <c r="L34" s="209">
        <v>0</v>
      </c>
      <c r="M34" s="209">
        <v>0</v>
      </c>
      <c r="BI34" s="26"/>
      <c r="BJ34" s="26"/>
    </row>
    <row r="35" spans="1:62" ht="30" customHeight="1">
      <c r="A35" s="100"/>
      <c r="B35" s="99" t="s">
        <v>194</v>
      </c>
      <c r="C35" s="4"/>
      <c r="D35" s="2"/>
      <c r="E35" s="100">
        <v>1120000000</v>
      </c>
      <c r="F35" s="100"/>
      <c r="G35" s="386"/>
      <c r="H35" s="347"/>
      <c r="I35" s="347"/>
      <c r="J35" s="209">
        <f>J36+J39+J40+J41+J42+J37+J43+J44+J38</f>
        <v>101178.42863999998</v>
      </c>
      <c r="K35" s="209">
        <f>K36+K39+K40+K41+K42+K37+K43+K44+K38</f>
        <v>101178.42863999998</v>
      </c>
      <c r="L35" s="209">
        <f>L36+L39+L40+L41+L42+L37+L43+L44+L38</f>
        <v>369587.56802999997</v>
      </c>
      <c r="M35" s="209">
        <f>M36+M39+M40+M41+M42+M37+M43+M44+M38</f>
        <v>5333.34</v>
      </c>
      <c r="BI35" s="26"/>
      <c r="BJ35" s="26"/>
    </row>
    <row r="36" spans="1:62" ht="19.5" customHeight="1">
      <c r="A36" s="317"/>
      <c r="B36" s="321" t="s">
        <v>773</v>
      </c>
      <c r="C36" s="4" t="s">
        <v>4</v>
      </c>
      <c r="D36" s="1" t="s">
        <v>193</v>
      </c>
      <c r="E36" s="107">
        <v>1120100020</v>
      </c>
      <c r="F36" s="100">
        <v>240</v>
      </c>
      <c r="G36" s="386"/>
      <c r="H36" s="347"/>
      <c r="I36" s="347"/>
      <c r="J36" s="209">
        <f>1004.4-1004.4</f>
        <v>0</v>
      </c>
      <c r="K36" s="209">
        <f>1004.4-1004.4</f>
        <v>0</v>
      </c>
      <c r="L36" s="209">
        <v>0</v>
      </c>
      <c r="M36" s="209">
        <v>0</v>
      </c>
      <c r="BI36" s="26"/>
      <c r="BJ36" s="26"/>
    </row>
    <row r="37" spans="1:62" ht="19.5" customHeight="1">
      <c r="A37" s="347"/>
      <c r="B37" s="375"/>
      <c r="C37" s="4" t="s">
        <v>4</v>
      </c>
      <c r="D37" s="1" t="s">
        <v>193</v>
      </c>
      <c r="E37" s="107">
        <v>1120100020</v>
      </c>
      <c r="F37" s="100">
        <v>410</v>
      </c>
      <c r="G37" s="386"/>
      <c r="H37" s="347"/>
      <c r="I37" s="347"/>
      <c r="J37" s="209">
        <f>292.61158+136-6.76697-223.30889</f>
        <v>198.53572</v>
      </c>
      <c r="K37" s="209">
        <f>292.61158+136-6.76697-223.30889</f>
        <v>198.53572</v>
      </c>
      <c r="L37" s="209">
        <f>3.64-3.64</f>
        <v>0</v>
      </c>
      <c r="M37" s="209">
        <v>0</v>
      </c>
      <c r="BI37" s="26"/>
      <c r="BJ37" s="26"/>
    </row>
    <row r="38" spans="1:62" ht="19.5" customHeight="1">
      <c r="A38" s="318"/>
      <c r="B38" s="322"/>
      <c r="C38" s="4" t="s">
        <v>4</v>
      </c>
      <c r="D38" s="1" t="s">
        <v>193</v>
      </c>
      <c r="E38" s="107">
        <v>1120100020</v>
      </c>
      <c r="F38" s="100">
        <v>810</v>
      </c>
      <c r="G38" s="386"/>
      <c r="H38" s="347"/>
      <c r="I38" s="347"/>
      <c r="J38" s="209">
        <f>1200+4556.336-834.34926+204.37-17.48902</f>
        <v>5108.86772</v>
      </c>
      <c r="K38" s="209">
        <f>1200+4556.336-834.34926+204.37-17.48902</f>
        <v>5108.86772</v>
      </c>
      <c r="L38" s="209">
        <v>0</v>
      </c>
      <c r="M38" s="209">
        <v>0</v>
      </c>
      <c r="BI38" s="26"/>
      <c r="BJ38" s="26"/>
    </row>
    <row r="39" spans="1:62" ht="30" customHeight="1">
      <c r="A39" s="168"/>
      <c r="B39" s="375" t="s">
        <v>568</v>
      </c>
      <c r="C39" s="4" t="s">
        <v>4</v>
      </c>
      <c r="D39" s="1" t="s">
        <v>193</v>
      </c>
      <c r="E39" s="4" t="s">
        <v>569</v>
      </c>
      <c r="F39" s="100">
        <v>240</v>
      </c>
      <c r="G39" s="386"/>
      <c r="H39" s="347"/>
      <c r="I39" s="347"/>
      <c r="J39" s="209">
        <v>0</v>
      </c>
      <c r="K39" s="209">
        <v>0</v>
      </c>
      <c r="L39" s="209">
        <v>0</v>
      </c>
      <c r="M39" s="209">
        <f>5000+333.34</f>
        <v>5333.34</v>
      </c>
      <c r="BI39" s="26"/>
      <c r="BJ39" s="26"/>
    </row>
    <row r="40" spans="1:62" ht="52.5" customHeight="1">
      <c r="A40" s="174"/>
      <c r="B40" s="322"/>
      <c r="C40" s="4" t="s">
        <v>4</v>
      </c>
      <c r="D40" s="1" t="s">
        <v>193</v>
      </c>
      <c r="E40" s="4" t="s">
        <v>569</v>
      </c>
      <c r="F40" s="100">
        <v>410</v>
      </c>
      <c r="G40" s="386"/>
      <c r="H40" s="347"/>
      <c r="I40" s="347"/>
      <c r="J40" s="209">
        <v>24800</v>
      </c>
      <c r="K40" s="209">
        <v>24800</v>
      </c>
      <c r="L40" s="209">
        <f>11642.04+4250.6652-51.63052+12751.99558</f>
        <v>28593.07026</v>
      </c>
      <c r="M40" s="209">
        <v>0</v>
      </c>
      <c r="BI40" s="26"/>
      <c r="BJ40" s="26"/>
    </row>
    <row r="41" spans="1:62" ht="50.25" customHeight="1">
      <c r="A41" s="107"/>
      <c r="B41" s="11" t="s">
        <v>305</v>
      </c>
      <c r="C41" s="4" t="s">
        <v>4</v>
      </c>
      <c r="D41" s="2" t="s">
        <v>193</v>
      </c>
      <c r="E41" s="4" t="s">
        <v>306</v>
      </c>
      <c r="F41" s="100">
        <v>240</v>
      </c>
      <c r="G41" s="359"/>
      <c r="H41" s="318"/>
      <c r="I41" s="318"/>
      <c r="J41" s="209">
        <f>11175.165+1067.66454+1067.66452</f>
        <v>13310.49406</v>
      </c>
      <c r="K41" s="209">
        <f>11175.165+1067.66454+1067.66452</f>
        <v>13310.49406</v>
      </c>
      <c r="L41" s="209">
        <v>0</v>
      </c>
      <c r="M41" s="209">
        <v>0</v>
      </c>
      <c r="BI41" s="26"/>
      <c r="BJ41" s="26"/>
    </row>
    <row r="42" spans="1:62" ht="175.5" customHeight="1">
      <c r="A42" s="107"/>
      <c r="B42" s="95" t="s">
        <v>493</v>
      </c>
      <c r="C42" s="4" t="s">
        <v>4</v>
      </c>
      <c r="D42" s="105" t="s">
        <v>193</v>
      </c>
      <c r="E42" s="100" t="s">
        <v>756</v>
      </c>
      <c r="F42" s="100">
        <v>410</v>
      </c>
      <c r="G42" s="9" t="s">
        <v>740</v>
      </c>
      <c r="H42" s="4" t="s">
        <v>536</v>
      </c>
      <c r="I42" s="4" t="s">
        <v>535</v>
      </c>
      <c r="J42" s="209">
        <f>175+46417+2268-419.26569</f>
        <v>48440.73431</v>
      </c>
      <c r="K42" s="209">
        <f>175+46417+2268-419.26569</f>
        <v>48440.73431</v>
      </c>
      <c r="L42" s="209">
        <v>135</v>
      </c>
      <c r="M42" s="209">
        <v>0</v>
      </c>
      <c r="BI42" s="26"/>
      <c r="BJ42" s="26"/>
    </row>
    <row r="43" spans="1:62" ht="231.75" customHeight="1">
      <c r="A43" s="107"/>
      <c r="B43" s="95" t="s">
        <v>823</v>
      </c>
      <c r="C43" s="4" t="s">
        <v>4</v>
      </c>
      <c r="D43" s="105" t="s">
        <v>193</v>
      </c>
      <c r="E43" s="100" t="s">
        <v>819</v>
      </c>
      <c r="F43" s="100">
        <v>410</v>
      </c>
      <c r="G43" s="124" t="s">
        <v>827</v>
      </c>
      <c r="H43" s="100" t="s">
        <v>829</v>
      </c>
      <c r="I43" s="100" t="s">
        <v>828</v>
      </c>
      <c r="J43" s="209">
        <f>6.76697+6758.10526</f>
        <v>6764.87223</v>
      </c>
      <c r="K43" s="209">
        <f>6.76697+6758.10526</f>
        <v>6764.87223</v>
      </c>
      <c r="L43" s="209">
        <f>289.23567+51.63052+340518.63158</f>
        <v>340859.49776999996</v>
      </c>
      <c r="M43" s="209">
        <v>0</v>
      </c>
      <c r="BI43" s="26"/>
      <c r="BJ43" s="26"/>
    </row>
    <row r="44" spans="1:62" ht="111" customHeight="1">
      <c r="A44" s="107"/>
      <c r="B44" s="99" t="s">
        <v>821</v>
      </c>
      <c r="C44" s="252" t="s">
        <v>4</v>
      </c>
      <c r="D44" s="253" t="s">
        <v>193</v>
      </c>
      <c r="E44" s="2" t="s">
        <v>820</v>
      </c>
      <c r="F44" s="253" t="s">
        <v>40</v>
      </c>
      <c r="G44" s="250" t="s">
        <v>824</v>
      </c>
      <c r="H44" s="2" t="s">
        <v>825</v>
      </c>
      <c r="I44" s="2" t="s">
        <v>826</v>
      </c>
      <c r="J44" s="209">
        <v>2554.9246</v>
      </c>
      <c r="K44" s="209">
        <v>2554.9246</v>
      </c>
      <c r="L44" s="209">
        <v>0</v>
      </c>
      <c r="M44" s="209">
        <v>0</v>
      </c>
      <c r="BI44" s="26"/>
      <c r="BJ44" s="26"/>
    </row>
    <row r="45" spans="1:62" ht="30" customHeight="1">
      <c r="A45" s="4"/>
      <c r="B45" s="99" t="s">
        <v>195</v>
      </c>
      <c r="C45" s="4"/>
      <c r="D45" s="2"/>
      <c r="E45" s="100">
        <v>1130000000</v>
      </c>
      <c r="F45" s="100"/>
      <c r="G45" s="146"/>
      <c r="H45" s="95"/>
      <c r="I45" s="95"/>
      <c r="J45" s="209">
        <f>J48+J46+J47</f>
        <v>15150.06366</v>
      </c>
      <c r="K45" s="209">
        <f>K48+K46+K47</f>
        <v>8867.56047</v>
      </c>
      <c r="L45" s="209">
        <f>L48+L46+L47</f>
        <v>0</v>
      </c>
      <c r="M45" s="209">
        <f>M48+M46+M47</f>
        <v>0</v>
      </c>
      <c r="BI45" s="26"/>
      <c r="BJ45" s="26"/>
    </row>
    <row r="46" spans="1:62" ht="36.75" customHeight="1">
      <c r="A46" s="100"/>
      <c r="B46" s="99" t="s">
        <v>622</v>
      </c>
      <c r="C46" s="4" t="s">
        <v>4</v>
      </c>
      <c r="D46" s="2" t="s">
        <v>193</v>
      </c>
      <c r="E46" s="100">
        <v>1130100020</v>
      </c>
      <c r="F46" s="100">
        <v>410</v>
      </c>
      <c r="G46" s="314" t="s">
        <v>713</v>
      </c>
      <c r="H46" s="317" t="s">
        <v>44</v>
      </c>
      <c r="I46" s="317" t="s">
        <v>381</v>
      </c>
      <c r="J46" s="209">
        <v>2500</v>
      </c>
      <c r="K46" s="209">
        <v>0</v>
      </c>
      <c r="L46" s="209">
        <v>0</v>
      </c>
      <c r="M46" s="209">
        <v>0</v>
      </c>
      <c r="BI46" s="26"/>
      <c r="BJ46" s="26"/>
    </row>
    <row r="47" spans="1:62" ht="48" customHeight="1">
      <c r="A47" s="257"/>
      <c r="B47" s="11" t="s">
        <v>834</v>
      </c>
      <c r="C47" s="4" t="s">
        <v>4</v>
      </c>
      <c r="D47" s="2" t="s">
        <v>193</v>
      </c>
      <c r="E47" s="100" t="s">
        <v>833</v>
      </c>
      <c r="F47" s="100">
        <v>810</v>
      </c>
      <c r="G47" s="359"/>
      <c r="H47" s="318"/>
      <c r="I47" s="318"/>
      <c r="J47" s="209">
        <f>282.50319+5367.56047</f>
        <v>5650.063660000001</v>
      </c>
      <c r="K47" s="209">
        <f>282.50319+5367.56047</f>
        <v>5650.063660000001</v>
      </c>
      <c r="L47" s="209">
        <v>0</v>
      </c>
      <c r="M47" s="209">
        <v>0</v>
      </c>
      <c r="BI47" s="26"/>
      <c r="BJ47" s="26"/>
    </row>
    <row r="48" spans="1:62" ht="106.5" customHeight="1">
      <c r="A48" s="150"/>
      <c r="B48" s="7" t="s">
        <v>570</v>
      </c>
      <c r="C48" s="4" t="s">
        <v>4</v>
      </c>
      <c r="D48" s="2" t="s">
        <v>193</v>
      </c>
      <c r="E48" s="100">
        <v>1130100030</v>
      </c>
      <c r="F48" s="100">
        <v>810</v>
      </c>
      <c r="G48" s="124" t="s">
        <v>714</v>
      </c>
      <c r="H48" s="100" t="s">
        <v>434</v>
      </c>
      <c r="I48" s="100" t="s">
        <v>537</v>
      </c>
      <c r="J48" s="209">
        <v>7000</v>
      </c>
      <c r="K48" s="209">
        <f>3500-282.50319</f>
        <v>3217.49681</v>
      </c>
      <c r="L48" s="209">
        <v>0</v>
      </c>
      <c r="M48" s="209">
        <v>0</v>
      </c>
      <c r="BI48" s="26"/>
      <c r="BJ48" s="26"/>
    </row>
    <row r="49" spans="1:13" ht="195" customHeight="1">
      <c r="A49" s="78" t="s">
        <v>135</v>
      </c>
      <c r="B49" s="82" t="s">
        <v>134</v>
      </c>
      <c r="C49" s="83"/>
      <c r="D49" s="80"/>
      <c r="E49" s="80"/>
      <c r="F49" s="78"/>
      <c r="G49" s="84"/>
      <c r="H49" s="85"/>
      <c r="I49" s="85"/>
      <c r="J49" s="208">
        <f>J51+J54</f>
        <v>143216.99997</v>
      </c>
      <c r="K49" s="208">
        <f>K51+K54</f>
        <v>129703.51242</v>
      </c>
      <c r="L49" s="208">
        <f>L51+L54</f>
        <v>81760.7692</v>
      </c>
      <c r="M49" s="208">
        <f>M51+M54</f>
        <v>84939.45</v>
      </c>
    </row>
    <row r="50" spans="1:13" ht="30" customHeight="1">
      <c r="A50" s="2"/>
      <c r="B50" s="11" t="s">
        <v>178</v>
      </c>
      <c r="C50" s="4"/>
      <c r="D50" s="2"/>
      <c r="E50" s="2" t="s">
        <v>64</v>
      </c>
      <c r="F50" s="2"/>
      <c r="G50" s="3"/>
      <c r="H50" s="5"/>
      <c r="I50" s="5"/>
      <c r="J50" s="209">
        <f>J51+J54</f>
        <v>143216.99997</v>
      </c>
      <c r="K50" s="209">
        <f>K51+K54</f>
        <v>129703.51242</v>
      </c>
      <c r="L50" s="209">
        <f>L51+L54</f>
        <v>81760.7692</v>
      </c>
      <c r="M50" s="209">
        <f>M51+M54</f>
        <v>84939.45</v>
      </c>
    </row>
    <row r="51" spans="1:13" ht="45" customHeight="1">
      <c r="A51" s="2"/>
      <c r="B51" s="11" t="s">
        <v>177</v>
      </c>
      <c r="C51" s="4"/>
      <c r="D51" s="2"/>
      <c r="E51" s="2" t="s">
        <v>62</v>
      </c>
      <c r="F51" s="2"/>
      <c r="G51" s="9"/>
      <c r="H51" s="4"/>
      <c r="I51" s="5"/>
      <c r="J51" s="209">
        <f>J53+J52</f>
        <v>82156.63397</v>
      </c>
      <c r="K51" s="209">
        <f>K53+K52</f>
        <v>77267.6955</v>
      </c>
      <c r="L51" s="209">
        <f>L53+L52</f>
        <v>27513.3792</v>
      </c>
      <c r="M51" s="209">
        <f>M53+M52</f>
        <v>31366.72</v>
      </c>
    </row>
    <row r="52" spans="1:13" ht="23.25" customHeight="1">
      <c r="A52" s="2"/>
      <c r="B52" s="51" t="s">
        <v>179</v>
      </c>
      <c r="C52" s="52" t="s">
        <v>4</v>
      </c>
      <c r="D52" s="2" t="s">
        <v>10</v>
      </c>
      <c r="E52" s="2" t="s">
        <v>376</v>
      </c>
      <c r="F52" s="2" t="s">
        <v>38</v>
      </c>
      <c r="G52" s="314" t="s">
        <v>443</v>
      </c>
      <c r="H52" s="317" t="s">
        <v>363</v>
      </c>
      <c r="I52" s="345" t="s">
        <v>538</v>
      </c>
      <c r="J52" s="209">
        <v>7788.745</v>
      </c>
      <c r="K52" s="209">
        <f>1109.31725+89.5+1140.5454-0.00006-167.69225+219.58006+321.53924+187.01689</f>
        <v>2899.80653</v>
      </c>
      <c r="L52" s="209">
        <f>4680.85333-0.00001-1242.1408</f>
        <v>3438.71252</v>
      </c>
      <c r="M52" s="209">
        <v>4963.27556</v>
      </c>
    </row>
    <row r="53" spans="1:13" ht="68.25" customHeight="1">
      <c r="A53" s="48"/>
      <c r="B53" s="7" t="s">
        <v>375</v>
      </c>
      <c r="C53" s="52" t="s">
        <v>4</v>
      </c>
      <c r="D53" s="2" t="s">
        <v>10</v>
      </c>
      <c r="E53" s="2" t="s">
        <v>307</v>
      </c>
      <c r="F53" s="2" t="s">
        <v>38</v>
      </c>
      <c r="G53" s="359"/>
      <c r="H53" s="318"/>
      <c r="I53" s="346"/>
      <c r="J53" s="209">
        <f>65479.00002+0.00006+888.88889+8000</f>
        <v>74367.88897</v>
      </c>
      <c r="K53" s="209">
        <f>65479.00002+0.00006+888.88889+8000</f>
        <v>74367.88897</v>
      </c>
      <c r="L53" s="209">
        <f>24074.66667+0.00001</f>
        <v>24074.66668</v>
      </c>
      <c r="M53" s="209">
        <v>26403.44444</v>
      </c>
    </row>
    <row r="54" spans="1:13" ht="60" customHeight="1">
      <c r="A54" s="2"/>
      <c r="B54" s="11" t="s">
        <v>180</v>
      </c>
      <c r="C54" s="4"/>
      <c r="D54" s="2"/>
      <c r="E54" s="2" t="s">
        <v>63</v>
      </c>
      <c r="F54" s="2"/>
      <c r="G54" s="9"/>
      <c r="H54" s="5"/>
      <c r="I54" s="5"/>
      <c r="J54" s="209">
        <f>J55</f>
        <v>61060.366</v>
      </c>
      <c r="K54" s="209">
        <f>K55</f>
        <v>52435.81692</v>
      </c>
      <c r="L54" s="209">
        <f>L55</f>
        <v>54247.39</v>
      </c>
      <c r="M54" s="209">
        <f>M55</f>
        <v>53572.729999999996</v>
      </c>
    </row>
    <row r="55" spans="1:13" ht="106.5" customHeight="1">
      <c r="A55" s="2"/>
      <c r="B55" s="50" t="s">
        <v>47</v>
      </c>
      <c r="C55" s="52" t="s">
        <v>4</v>
      </c>
      <c r="D55" s="2" t="s">
        <v>10</v>
      </c>
      <c r="E55" s="2" t="s">
        <v>181</v>
      </c>
      <c r="F55" s="2" t="s">
        <v>38</v>
      </c>
      <c r="G55" s="9" t="s">
        <v>443</v>
      </c>
      <c r="H55" s="4" t="s">
        <v>363</v>
      </c>
      <c r="I55" s="5" t="s">
        <v>538</v>
      </c>
      <c r="J55" s="209">
        <v>61060.366</v>
      </c>
      <c r="K55" s="209">
        <f>51948.18275+1457.21658-0.00002-89.5-721.19664-219.58006+60.69431</f>
        <v>52435.81692</v>
      </c>
      <c r="L55" s="209">
        <f>53018.7+1228.69</f>
        <v>54247.39</v>
      </c>
      <c r="M55" s="209">
        <f>53019.7+553.03</f>
        <v>53572.729999999996</v>
      </c>
    </row>
    <row r="56" spans="1:13" ht="135" customHeight="1">
      <c r="A56" s="78" t="s">
        <v>187</v>
      </c>
      <c r="B56" s="87" t="s">
        <v>188</v>
      </c>
      <c r="C56" s="78"/>
      <c r="D56" s="78"/>
      <c r="E56" s="78"/>
      <c r="F56" s="78"/>
      <c r="G56" s="78"/>
      <c r="H56" s="78"/>
      <c r="I56" s="78"/>
      <c r="J56" s="208">
        <f>J60+J57+J76+J66+J79</f>
        <v>527252.64374</v>
      </c>
      <c r="K56" s="208">
        <f>K60+K57+K76+K66+K79</f>
        <v>523442.74374</v>
      </c>
      <c r="L56" s="208">
        <f>L60+L57+L76+L66+L79</f>
        <v>6322.29824</v>
      </c>
      <c r="M56" s="208">
        <f>M60+M57+M76+M66+M79</f>
        <v>443.64</v>
      </c>
    </row>
    <row r="57" spans="1:13" ht="30" customHeight="1">
      <c r="A57" s="2"/>
      <c r="B57" s="12" t="s">
        <v>227</v>
      </c>
      <c r="C57" s="2"/>
      <c r="D57" s="2"/>
      <c r="E57" s="2" t="s">
        <v>60</v>
      </c>
      <c r="F57" s="2"/>
      <c r="G57" s="2"/>
      <c r="H57" s="2"/>
      <c r="I57" s="2"/>
      <c r="J57" s="209">
        <f aca="true" t="shared" si="0" ref="J57:M58">J58</f>
        <v>1272.666</v>
      </c>
      <c r="K57" s="209">
        <f t="shared" si="0"/>
        <v>1272.666</v>
      </c>
      <c r="L57" s="209">
        <f t="shared" si="0"/>
        <v>478.9</v>
      </c>
      <c r="M57" s="209">
        <f t="shared" si="0"/>
        <v>443.64</v>
      </c>
    </row>
    <row r="58" spans="1:13" ht="30" customHeight="1">
      <c r="A58" s="2"/>
      <c r="B58" s="12" t="s">
        <v>228</v>
      </c>
      <c r="C58" s="2"/>
      <c r="D58" s="2"/>
      <c r="E58" s="2" t="s">
        <v>229</v>
      </c>
      <c r="F58" s="2"/>
      <c r="G58" s="2"/>
      <c r="H58" s="2"/>
      <c r="I58" s="2"/>
      <c r="J58" s="209">
        <f t="shared" si="0"/>
        <v>1272.666</v>
      </c>
      <c r="K58" s="209">
        <f t="shared" si="0"/>
        <v>1272.666</v>
      </c>
      <c r="L58" s="209">
        <f t="shared" si="0"/>
        <v>478.9</v>
      </c>
      <c r="M58" s="209">
        <f t="shared" si="0"/>
        <v>443.64</v>
      </c>
    </row>
    <row r="59" spans="1:13" ht="125.25" customHeight="1">
      <c r="A59" s="2"/>
      <c r="B59" s="12" t="s">
        <v>371</v>
      </c>
      <c r="C59" s="2" t="s">
        <v>369</v>
      </c>
      <c r="D59" s="2" t="s">
        <v>481</v>
      </c>
      <c r="E59" s="2" t="s">
        <v>370</v>
      </c>
      <c r="F59" s="2" t="s">
        <v>242</v>
      </c>
      <c r="G59" s="151" t="s">
        <v>749</v>
      </c>
      <c r="H59" s="2" t="s">
        <v>540</v>
      </c>
      <c r="I59" s="1" t="s">
        <v>539</v>
      </c>
      <c r="J59" s="309">
        <v>1272.666</v>
      </c>
      <c r="K59" s="309">
        <v>1272.666</v>
      </c>
      <c r="L59" s="309">
        <v>478.9</v>
      </c>
      <c r="M59" s="309">
        <v>443.64</v>
      </c>
    </row>
    <row r="60" spans="1:13" ht="45" customHeight="1">
      <c r="A60" s="2"/>
      <c r="B60" s="50" t="s">
        <v>165</v>
      </c>
      <c r="C60" s="52"/>
      <c r="D60" s="2"/>
      <c r="E60" s="2" t="s">
        <v>67</v>
      </c>
      <c r="F60" s="2"/>
      <c r="G60" s="9"/>
      <c r="H60" s="4"/>
      <c r="I60" s="5"/>
      <c r="J60" s="209">
        <f>J61</f>
        <v>5469.849999999999</v>
      </c>
      <c r="K60" s="209">
        <f>K61</f>
        <v>1659.95</v>
      </c>
      <c r="L60" s="209">
        <f>L61</f>
        <v>0</v>
      </c>
      <c r="M60" s="209">
        <f>M61</f>
        <v>0</v>
      </c>
    </row>
    <row r="61" spans="1:13" ht="30.75" customHeight="1">
      <c r="A61" s="57"/>
      <c r="B61" s="50" t="s">
        <v>420</v>
      </c>
      <c r="C61" s="52"/>
      <c r="D61" s="2"/>
      <c r="E61" s="2" t="s">
        <v>68</v>
      </c>
      <c r="F61" s="2"/>
      <c r="G61" s="148"/>
      <c r="H61" s="7"/>
      <c r="I61" s="23"/>
      <c r="J61" s="209">
        <f>J64+J62</f>
        <v>5469.849999999999</v>
      </c>
      <c r="K61" s="209">
        <f>K64+K62</f>
        <v>1659.95</v>
      </c>
      <c r="L61" s="209">
        <f>L64+L62</f>
        <v>0</v>
      </c>
      <c r="M61" s="209">
        <f>M64+M62</f>
        <v>0</v>
      </c>
    </row>
    <row r="62" spans="1:13" ht="45" customHeight="1">
      <c r="A62" s="109"/>
      <c r="B62" s="11" t="s">
        <v>801</v>
      </c>
      <c r="C62" s="52"/>
      <c r="D62" s="2"/>
      <c r="E62" s="2" t="s">
        <v>166</v>
      </c>
      <c r="F62" s="2"/>
      <c r="G62" s="146"/>
      <c r="H62" s="95"/>
      <c r="I62" s="147"/>
      <c r="J62" s="211">
        <f>J63</f>
        <v>160</v>
      </c>
      <c r="K62" s="211">
        <f>K63</f>
        <v>160</v>
      </c>
      <c r="L62" s="211">
        <f>L63</f>
        <v>0</v>
      </c>
      <c r="M62" s="211">
        <f>M63</f>
        <v>0</v>
      </c>
    </row>
    <row r="63" spans="1:13" ht="97.5" customHeight="1">
      <c r="A63" s="109"/>
      <c r="B63" s="7" t="s">
        <v>802</v>
      </c>
      <c r="C63" s="52" t="s">
        <v>419</v>
      </c>
      <c r="D63" s="2" t="s">
        <v>189</v>
      </c>
      <c r="E63" s="2" t="s">
        <v>500</v>
      </c>
      <c r="F63" s="2" t="s">
        <v>38</v>
      </c>
      <c r="G63" s="9" t="s">
        <v>712</v>
      </c>
      <c r="H63" s="4" t="s">
        <v>44</v>
      </c>
      <c r="I63" s="5" t="s">
        <v>381</v>
      </c>
      <c r="J63" s="211">
        <v>160</v>
      </c>
      <c r="K63" s="211">
        <v>160</v>
      </c>
      <c r="L63" s="211">
        <v>0</v>
      </c>
      <c r="M63" s="211">
        <v>0</v>
      </c>
    </row>
    <row r="64" spans="1:13" ht="32.25" customHeight="1">
      <c r="A64" s="109"/>
      <c r="B64" s="144" t="s">
        <v>427</v>
      </c>
      <c r="C64" s="52"/>
      <c r="D64" s="2"/>
      <c r="E64" s="2" t="s">
        <v>428</v>
      </c>
      <c r="F64" s="2"/>
      <c r="G64" s="146"/>
      <c r="H64" s="95"/>
      <c r="I64" s="147"/>
      <c r="J64" s="211">
        <f>J65</f>
        <v>5309.849999999999</v>
      </c>
      <c r="K64" s="211">
        <f>K65</f>
        <v>1499.95</v>
      </c>
      <c r="L64" s="211">
        <f>L65</f>
        <v>0</v>
      </c>
      <c r="M64" s="211">
        <f>M65</f>
        <v>0</v>
      </c>
    </row>
    <row r="65" spans="1:13" ht="66" customHeight="1">
      <c r="A65" s="2"/>
      <c r="B65" s="50" t="s">
        <v>429</v>
      </c>
      <c r="C65" s="52" t="s">
        <v>419</v>
      </c>
      <c r="D65" s="2" t="s">
        <v>189</v>
      </c>
      <c r="E65" s="2" t="s">
        <v>430</v>
      </c>
      <c r="F65" s="2" t="s">
        <v>38</v>
      </c>
      <c r="G65" s="9" t="s">
        <v>712</v>
      </c>
      <c r="H65" s="4" t="s">
        <v>44</v>
      </c>
      <c r="I65" s="5" t="s">
        <v>381</v>
      </c>
      <c r="J65" s="212">
        <f>5309.9-0.05</f>
        <v>5309.849999999999</v>
      </c>
      <c r="K65" s="212">
        <f>1500-0.05</f>
        <v>1499.95</v>
      </c>
      <c r="L65" s="212">
        <v>0</v>
      </c>
      <c r="M65" s="212">
        <v>0</v>
      </c>
    </row>
    <row r="66" spans="1:13" ht="70.5" customHeight="1">
      <c r="A66" s="2"/>
      <c r="B66" s="50" t="s">
        <v>655</v>
      </c>
      <c r="C66" s="52"/>
      <c r="D66" s="2"/>
      <c r="E66" s="2" t="s">
        <v>656</v>
      </c>
      <c r="F66" s="2"/>
      <c r="G66" s="9"/>
      <c r="H66" s="4"/>
      <c r="I66" s="5"/>
      <c r="J66" s="209">
        <f>SUM(J67:J75)</f>
        <v>519479.74739000003</v>
      </c>
      <c r="K66" s="209">
        <f>SUM(K67:K75)</f>
        <v>519479.74739000003</v>
      </c>
      <c r="L66" s="209">
        <f>SUM(L67:L75)</f>
        <v>5843.39824</v>
      </c>
      <c r="M66" s="209">
        <f>SUM(M67:M75)</f>
        <v>0</v>
      </c>
    </row>
    <row r="67" spans="1:13" ht="64.5" customHeight="1">
      <c r="A67" s="2"/>
      <c r="B67" s="7" t="s">
        <v>803</v>
      </c>
      <c r="C67" s="52" t="s">
        <v>419</v>
      </c>
      <c r="D67" s="2" t="s">
        <v>189</v>
      </c>
      <c r="E67" s="2" t="s">
        <v>804</v>
      </c>
      <c r="F67" s="2" t="s">
        <v>38</v>
      </c>
      <c r="G67" s="314" t="s">
        <v>747</v>
      </c>
      <c r="H67" s="317" t="s">
        <v>659</v>
      </c>
      <c r="I67" s="345" t="s">
        <v>660</v>
      </c>
      <c r="J67" s="209">
        <f>66+237</f>
        <v>303</v>
      </c>
      <c r="K67" s="209">
        <f>66+237</f>
        <v>303</v>
      </c>
      <c r="L67" s="209">
        <v>0</v>
      </c>
      <c r="M67" s="213">
        <v>0</v>
      </c>
    </row>
    <row r="68" spans="1:13" ht="15">
      <c r="A68" s="316"/>
      <c r="B68" s="376" t="s">
        <v>657</v>
      </c>
      <c r="C68" s="52" t="s">
        <v>4</v>
      </c>
      <c r="D68" s="2" t="s">
        <v>189</v>
      </c>
      <c r="E68" s="2" t="s">
        <v>658</v>
      </c>
      <c r="F68" s="2" t="s">
        <v>98</v>
      </c>
      <c r="G68" s="386"/>
      <c r="H68" s="347"/>
      <c r="I68" s="365"/>
      <c r="J68" s="209">
        <v>182923.02506</v>
      </c>
      <c r="K68" s="209">
        <v>182923.02506</v>
      </c>
      <c r="L68" s="209">
        <v>0</v>
      </c>
      <c r="M68" s="213">
        <v>0</v>
      </c>
    </row>
    <row r="69" spans="1:13" ht="15">
      <c r="A69" s="319"/>
      <c r="B69" s="377"/>
      <c r="C69" s="176" t="s">
        <v>497</v>
      </c>
      <c r="D69" s="2" t="s">
        <v>189</v>
      </c>
      <c r="E69" s="2" t="s">
        <v>658</v>
      </c>
      <c r="F69" s="2" t="s">
        <v>98</v>
      </c>
      <c r="G69" s="386"/>
      <c r="H69" s="347"/>
      <c r="I69" s="365"/>
      <c r="J69" s="209">
        <f>252377.29169-220085.68946+233796.11733-262009.01056-1753.68141</f>
        <v>2325.0275900000024</v>
      </c>
      <c r="K69" s="209">
        <f>252377.29169-220085.68946+233796.11733-262009.01056-1753.68141</f>
        <v>2325.0275900000024</v>
      </c>
      <c r="L69" s="209">
        <v>0</v>
      </c>
      <c r="M69" s="213">
        <v>0</v>
      </c>
    </row>
    <row r="70" spans="1:13" ht="15">
      <c r="A70" s="319"/>
      <c r="B70" s="377"/>
      <c r="C70" s="293" t="s">
        <v>497</v>
      </c>
      <c r="D70" s="2" t="s">
        <v>189</v>
      </c>
      <c r="E70" s="2" t="s">
        <v>658</v>
      </c>
      <c r="F70" s="2" t="s">
        <v>797</v>
      </c>
      <c r="G70" s="386"/>
      <c r="H70" s="347"/>
      <c r="I70" s="365"/>
      <c r="J70" s="209">
        <f>111661.51271+1034.83147</f>
        <v>112696.34418</v>
      </c>
      <c r="K70" s="209">
        <f>111661.51271+1034.83147</f>
        <v>112696.34418</v>
      </c>
      <c r="L70" s="209">
        <v>0</v>
      </c>
      <c r="M70" s="213">
        <v>0</v>
      </c>
    </row>
    <row r="71" spans="1:13" ht="15">
      <c r="A71" s="320"/>
      <c r="B71" s="378"/>
      <c r="C71" s="234" t="s">
        <v>497</v>
      </c>
      <c r="D71" s="2" t="s">
        <v>189</v>
      </c>
      <c r="E71" s="2" t="s">
        <v>658</v>
      </c>
      <c r="F71" s="2" t="s">
        <v>39</v>
      </c>
      <c r="G71" s="386"/>
      <c r="H71" s="347"/>
      <c r="I71" s="365"/>
      <c r="J71" s="209">
        <f>220085.68946-48787.36376-331.63696+718.84994</f>
        <v>171685.53867999997</v>
      </c>
      <c r="K71" s="209">
        <f>220085.68946-48787.36376-331.63696+718.84994</f>
        <v>171685.53867999997</v>
      </c>
      <c r="L71" s="209">
        <v>0</v>
      </c>
      <c r="M71" s="213">
        <v>0</v>
      </c>
    </row>
    <row r="72" spans="1:13" ht="15">
      <c r="A72" s="316"/>
      <c r="B72" s="376" t="s">
        <v>661</v>
      </c>
      <c r="C72" s="287" t="s">
        <v>4</v>
      </c>
      <c r="D72" s="2" t="s">
        <v>189</v>
      </c>
      <c r="E72" s="2" t="s">
        <v>662</v>
      </c>
      <c r="F72" s="2" t="s">
        <v>98</v>
      </c>
      <c r="G72" s="386"/>
      <c r="H72" s="347"/>
      <c r="I72" s="365"/>
      <c r="J72" s="209">
        <v>24701.35228</v>
      </c>
      <c r="K72" s="209">
        <v>24701.35228</v>
      </c>
      <c r="L72" s="209">
        <v>5843.39824</v>
      </c>
      <c r="M72" s="213">
        <v>0</v>
      </c>
    </row>
    <row r="73" spans="1:13" ht="15.75">
      <c r="A73" s="319"/>
      <c r="B73" s="377"/>
      <c r="C73" s="176" t="s">
        <v>497</v>
      </c>
      <c r="D73" s="2" t="s">
        <v>189</v>
      </c>
      <c r="E73" s="2" t="s">
        <v>662</v>
      </c>
      <c r="F73" s="2" t="s">
        <v>98</v>
      </c>
      <c r="G73" s="386"/>
      <c r="H73" s="347"/>
      <c r="I73" s="365"/>
      <c r="J73" s="212">
        <f>19544.66842-11583.45734+10559.65663-17059.73495</f>
        <v>1461.1327600000004</v>
      </c>
      <c r="K73" s="212">
        <f>19544.66842-11583.45734+10559.65663-17059.73495</f>
        <v>1461.1327600000004</v>
      </c>
      <c r="L73" s="212">
        <v>0</v>
      </c>
      <c r="M73" s="214">
        <v>0</v>
      </c>
    </row>
    <row r="74" spans="1:13" ht="15.75">
      <c r="A74" s="319"/>
      <c r="B74" s="377"/>
      <c r="C74" s="293" t="s">
        <v>497</v>
      </c>
      <c r="D74" s="2" t="s">
        <v>189</v>
      </c>
      <c r="E74" s="2" t="s">
        <v>662</v>
      </c>
      <c r="F74" s="2" t="s">
        <v>797</v>
      </c>
      <c r="G74" s="386"/>
      <c r="H74" s="347"/>
      <c r="I74" s="365"/>
      <c r="J74" s="212">
        <v>10350.22133</v>
      </c>
      <c r="K74" s="212">
        <v>10350.22133</v>
      </c>
      <c r="L74" s="212">
        <v>0</v>
      </c>
      <c r="M74" s="214">
        <v>0</v>
      </c>
    </row>
    <row r="75" spans="1:13" ht="15.75">
      <c r="A75" s="320"/>
      <c r="B75" s="378"/>
      <c r="C75" s="234" t="s">
        <v>497</v>
      </c>
      <c r="D75" s="2" t="s">
        <v>189</v>
      </c>
      <c r="E75" s="2" t="s">
        <v>662</v>
      </c>
      <c r="F75" s="2" t="s">
        <v>39</v>
      </c>
      <c r="G75" s="359"/>
      <c r="H75" s="318"/>
      <c r="I75" s="346"/>
      <c r="J75" s="212">
        <f>11583.45734+1450.64817</f>
        <v>13034.105510000001</v>
      </c>
      <c r="K75" s="212">
        <f>11583.45734+1450.64817</f>
        <v>13034.105510000001</v>
      </c>
      <c r="L75" s="212">
        <f>17424.84379-17424.84379</f>
        <v>0</v>
      </c>
      <c r="M75" s="214">
        <v>0</v>
      </c>
    </row>
    <row r="76" spans="1:13" ht="30">
      <c r="A76" s="2"/>
      <c r="B76" s="50" t="s">
        <v>436</v>
      </c>
      <c r="C76" s="52"/>
      <c r="D76" s="2"/>
      <c r="E76" s="2" t="s">
        <v>437</v>
      </c>
      <c r="F76" s="2"/>
      <c r="G76" s="124"/>
      <c r="H76" s="100"/>
      <c r="I76" s="140"/>
      <c r="J76" s="212">
        <f>J77</f>
        <v>0</v>
      </c>
      <c r="K76" s="212">
        <f aca="true" t="shared" si="1" ref="K76:M77">K77</f>
        <v>0</v>
      </c>
      <c r="L76" s="212">
        <f t="shared" si="1"/>
        <v>0</v>
      </c>
      <c r="M76" s="212">
        <f t="shared" si="1"/>
        <v>0</v>
      </c>
    </row>
    <row r="77" spans="1:13" ht="45">
      <c r="A77" s="2"/>
      <c r="B77" s="50" t="s">
        <v>438</v>
      </c>
      <c r="C77" s="52"/>
      <c r="D77" s="2"/>
      <c r="E77" s="2" t="s">
        <v>439</v>
      </c>
      <c r="F77" s="2"/>
      <c r="G77" s="9"/>
      <c r="H77" s="100"/>
      <c r="I77" s="152"/>
      <c r="J77" s="212">
        <f>J78</f>
        <v>0</v>
      </c>
      <c r="K77" s="212">
        <f t="shared" si="1"/>
        <v>0</v>
      </c>
      <c r="L77" s="212">
        <f t="shared" si="1"/>
        <v>0</v>
      </c>
      <c r="M77" s="212">
        <f t="shared" si="1"/>
        <v>0</v>
      </c>
    </row>
    <row r="78" spans="1:13" ht="105" customHeight="1">
      <c r="A78" s="2"/>
      <c r="B78" s="50" t="s">
        <v>435</v>
      </c>
      <c r="C78" s="52" t="s">
        <v>4</v>
      </c>
      <c r="D78" s="2" t="s">
        <v>11</v>
      </c>
      <c r="E78" s="2" t="s">
        <v>440</v>
      </c>
      <c r="F78" s="2" t="s">
        <v>242</v>
      </c>
      <c r="G78" s="124" t="s">
        <v>541</v>
      </c>
      <c r="H78" s="100" t="s">
        <v>324</v>
      </c>
      <c r="I78" s="152" t="s">
        <v>444</v>
      </c>
      <c r="J78" s="212">
        <v>0</v>
      </c>
      <c r="K78" s="212">
        <v>0</v>
      </c>
      <c r="L78" s="212">
        <f>323.9659-323.9659</f>
        <v>0</v>
      </c>
      <c r="M78" s="214">
        <v>0</v>
      </c>
    </row>
    <row r="79" spans="1:13" ht="47.25" customHeight="1">
      <c r="A79" s="2"/>
      <c r="B79" s="7" t="s">
        <v>830</v>
      </c>
      <c r="C79" s="52"/>
      <c r="D79" s="2"/>
      <c r="E79" s="2" t="s">
        <v>65</v>
      </c>
      <c r="F79" s="2"/>
      <c r="G79" s="124"/>
      <c r="H79" s="100"/>
      <c r="I79" s="254"/>
      <c r="J79" s="212">
        <f>J80+J81+J82</f>
        <v>1030.38035</v>
      </c>
      <c r="K79" s="212">
        <f>K80+K81+K82</f>
        <v>1030.38035</v>
      </c>
      <c r="L79" s="212">
        <f>L80+L81+L82</f>
        <v>0</v>
      </c>
      <c r="M79" s="212">
        <f>M80+M81+M82</f>
        <v>0</v>
      </c>
    </row>
    <row r="80" spans="1:13" ht="129.75" customHeight="1">
      <c r="A80" s="2"/>
      <c r="B80" s="7" t="s">
        <v>832</v>
      </c>
      <c r="C80" s="255" t="s">
        <v>497</v>
      </c>
      <c r="D80" s="2" t="s">
        <v>11</v>
      </c>
      <c r="E80" s="2" t="s">
        <v>831</v>
      </c>
      <c r="F80" s="2" t="s">
        <v>242</v>
      </c>
      <c r="G80" s="124" t="s">
        <v>1001</v>
      </c>
      <c r="H80" s="100" t="s">
        <v>590</v>
      </c>
      <c r="I80" s="1" t="s">
        <v>1002</v>
      </c>
      <c r="J80" s="212">
        <v>210</v>
      </c>
      <c r="K80" s="212">
        <v>210</v>
      </c>
      <c r="L80" s="212">
        <v>0</v>
      </c>
      <c r="M80" s="214">
        <v>0</v>
      </c>
    </row>
    <row r="81" spans="1:13" ht="75" customHeight="1">
      <c r="A81" s="2"/>
      <c r="B81" s="7" t="s">
        <v>943</v>
      </c>
      <c r="C81" s="52" t="s">
        <v>4</v>
      </c>
      <c r="D81" s="2" t="s">
        <v>189</v>
      </c>
      <c r="E81" s="2" t="s">
        <v>944</v>
      </c>
      <c r="F81" s="2" t="s">
        <v>40</v>
      </c>
      <c r="G81" s="124" t="s">
        <v>947</v>
      </c>
      <c r="H81" s="100" t="s">
        <v>948</v>
      </c>
      <c r="I81" s="1" t="s">
        <v>949</v>
      </c>
      <c r="J81" s="212">
        <v>625.38035</v>
      </c>
      <c r="K81" s="212">
        <v>625.38035</v>
      </c>
      <c r="L81" s="212">
        <v>0</v>
      </c>
      <c r="M81" s="214">
        <v>0</v>
      </c>
    </row>
    <row r="82" spans="1:13" ht="42.75" customHeight="1">
      <c r="A82" s="2"/>
      <c r="B82" s="7" t="s">
        <v>962</v>
      </c>
      <c r="C82" s="52" t="s">
        <v>4</v>
      </c>
      <c r="D82" s="2" t="s">
        <v>189</v>
      </c>
      <c r="E82" s="2" t="s">
        <v>961</v>
      </c>
      <c r="F82" s="2" t="s">
        <v>38</v>
      </c>
      <c r="G82" s="289"/>
      <c r="H82" s="290"/>
      <c r="I82" s="291"/>
      <c r="J82" s="212">
        <v>195</v>
      </c>
      <c r="K82" s="212">
        <v>195</v>
      </c>
      <c r="L82" s="212">
        <v>0</v>
      </c>
      <c r="M82" s="214">
        <v>0</v>
      </c>
    </row>
    <row r="83" spans="1:13" ht="65.25" customHeight="1">
      <c r="A83" s="78" t="s">
        <v>522</v>
      </c>
      <c r="B83" s="116" t="s">
        <v>523</v>
      </c>
      <c r="C83" s="83"/>
      <c r="D83" s="78"/>
      <c r="E83" s="78"/>
      <c r="F83" s="78"/>
      <c r="G83" s="126"/>
      <c r="H83" s="128"/>
      <c r="I83" s="173"/>
      <c r="J83" s="215">
        <f aca="true" t="shared" si="2" ref="J83:M86">J84</f>
        <v>0</v>
      </c>
      <c r="K83" s="215">
        <f t="shared" si="2"/>
        <v>0</v>
      </c>
      <c r="L83" s="215">
        <f t="shared" si="2"/>
        <v>0</v>
      </c>
      <c r="M83" s="215">
        <f t="shared" si="2"/>
        <v>3880</v>
      </c>
    </row>
    <row r="84" spans="1:13" ht="45">
      <c r="A84" s="2"/>
      <c r="B84" s="95" t="s">
        <v>165</v>
      </c>
      <c r="C84" s="4"/>
      <c r="D84" s="2"/>
      <c r="E84" s="2" t="s">
        <v>67</v>
      </c>
      <c r="F84" s="2"/>
      <c r="G84" s="124"/>
      <c r="H84" s="100"/>
      <c r="I84" s="1"/>
      <c r="J84" s="212">
        <f t="shared" si="2"/>
        <v>0</v>
      </c>
      <c r="K84" s="212">
        <f t="shared" si="2"/>
        <v>0</v>
      </c>
      <c r="L84" s="212">
        <f t="shared" si="2"/>
        <v>0</v>
      </c>
      <c r="M84" s="212">
        <f t="shared" si="2"/>
        <v>3880</v>
      </c>
    </row>
    <row r="85" spans="1:13" ht="34.5" customHeight="1">
      <c r="A85" s="2"/>
      <c r="B85" s="99" t="s">
        <v>420</v>
      </c>
      <c r="C85" s="4"/>
      <c r="D85" s="2"/>
      <c r="E85" s="2" t="s">
        <v>68</v>
      </c>
      <c r="F85" s="2"/>
      <c r="G85" s="124"/>
      <c r="H85" s="100"/>
      <c r="I85" s="1"/>
      <c r="J85" s="212">
        <f t="shared" si="2"/>
        <v>0</v>
      </c>
      <c r="K85" s="212">
        <f t="shared" si="2"/>
        <v>0</v>
      </c>
      <c r="L85" s="212">
        <f t="shared" si="2"/>
        <v>0</v>
      </c>
      <c r="M85" s="212">
        <f t="shared" si="2"/>
        <v>3880</v>
      </c>
    </row>
    <row r="86" spans="1:13" ht="45">
      <c r="A86" s="2"/>
      <c r="B86" s="7" t="s">
        <v>524</v>
      </c>
      <c r="C86" s="4"/>
      <c r="D86" s="2"/>
      <c r="E86" s="2" t="s">
        <v>525</v>
      </c>
      <c r="F86" s="2"/>
      <c r="G86" s="124"/>
      <c r="H86" s="100"/>
      <c r="I86" s="1"/>
      <c r="J86" s="212">
        <f t="shared" si="2"/>
        <v>0</v>
      </c>
      <c r="K86" s="212">
        <f t="shared" si="2"/>
        <v>0</v>
      </c>
      <c r="L86" s="212">
        <f t="shared" si="2"/>
        <v>0</v>
      </c>
      <c r="M86" s="212">
        <f t="shared" si="2"/>
        <v>3880</v>
      </c>
    </row>
    <row r="87" spans="1:13" ht="60" customHeight="1">
      <c r="A87" s="2"/>
      <c r="B87" s="7" t="s">
        <v>532</v>
      </c>
      <c r="C87" s="172" t="s">
        <v>419</v>
      </c>
      <c r="D87" s="106" t="s">
        <v>46</v>
      </c>
      <c r="E87" s="10" t="s">
        <v>531</v>
      </c>
      <c r="F87" s="106" t="s">
        <v>98</v>
      </c>
      <c r="G87" s="9" t="s">
        <v>748</v>
      </c>
      <c r="H87" s="4" t="s">
        <v>44</v>
      </c>
      <c r="I87" s="5" t="s">
        <v>381</v>
      </c>
      <c r="J87" s="209">
        <f>1241.735-1241.735</f>
        <v>0</v>
      </c>
      <c r="K87" s="209">
        <f>1241.735-1241.735</f>
        <v>0</v>
      </c>
      <c r="L87" s="209">
        <v>0</v>
      </c>
      <c r="M87" s="209">
        <v>3880</v>
      </c>
    </row>
    <row r="88" spans="1:13" ht="60" customHeight="1">
      <c r="A88" s="78" t="s">
        <v>137</v>
      </c>
      <c r="B88" s="82" t="s">
        <v>136</v>
      </c>
      <c r="C88" s="83"/>
      <c r="D88" s="78"/>
      <c r="E88" s="78"/>
      <c r="F88" s="78"/>
      <c r="G88" s="84"/>
      <c r="H88" s="85"/>
      <c r="I88" s="85"/>
      <c r="J88" s="208">
        <f aca="true" t="shared" si="3" ref="J88:M89">J89</f>
        <v>12407.138270000001</v>
      </c>
      <c r="K88" s="208">
        <f t="shared" si="3"/>
        <v>12407.138270000001</v>
      </c>
      <c r="L88" s="208">
        <f t="shared" si="3"/>
        <v>13730</v>
      </c>
      <c r="M88" s="208">
        <f t="shared" si="3"/>
        <v>12487.8592</v>
      </c>
    </row>
    <row r="89" spans="1:60" s="53" customFormat="1" ht="30" customHeight="1">
      <c r="A89" s="2"/>
      <c r="B89" s="11" t="s">
        <v>178</v>
      </c>
      <c r="C89" s="4"/>
      <c r="D89" s="2"/>
      <c r="E89" s="2" t="s">
        <v>64</v>
      </c>
      <c r="F89" s="2"/>
      <c r="G89" s="3"/>
      <c r="H89" s="2"/>
      <c r="I89" s="2"/>
      <c r="J89" s="209">
        <f>J90</f>
        <v>12407.138270000001</v>
      </c>
      <c r="K89" s="209">
        <f t="shared" si="3"/>
        <v>12407.138270000001</v>
      </c>
      <c r="L89" s="209">
        <f t="shared" si="3"/>
        <v>13730</v>
      </c>
      <c r="M89" s="209">
        <f t="shared" si="3"/>
        <v>12487.8592</v>
      </c>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71"/>
    </row>
    <row r="90" spans="1:60" s="53" customFormat="1" ht="30" customHeight="1">
      <c r="A90" s="57"/>
      <c r="B90" s="50" t="s">
        <v>182</v>
      </c>
      <c r="C90" s="73"/>
      <c r="D90" s="74"/>
      <c r="E90" s="2" t="s">
        <v>80</v>
      </c>
      <c r="F90" s="73"/>
      <c r="G90" s="9"/>
      <c r="H90" s="4"/>
      <c r="I90" s="5"/>
      <c r="J90" s="209">
        <f>J91+J92</f>
        <v>12407.138270000001</v>
      </c>
      <c r="K90" s="209">
        <f>K91+K92</f>
        <v>12407.138270000001</v>
      </c>
      <c r="L90" s="209">
        <f>L91+L92</f>
        <v>13730</v>
      </c>
      <c r="M90" s="209">
        <f>M91+M92</f>
        <v>12487.8592</v>
      </c>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71"/>
    </row>
    <row r="91" spans="1:60" s="53" customFormat="1" ht="68.25" customHeight="1">
      <c r="A91" s="57"/>
      <c r="B91" s="50" t="s">
        <v>183</v>
      </c>
      <c r="C91" s="52" t="s">
        <v>4</v>
      </c>
      <c r="D91" s="48" t="s">
        <v>46</v>
      </c>
      <c r="E91" s="48" t="s">
        <v>184</v>
      </c>
      <c r="F91" s="48" t="s">
        <v>38</v>
      </c>
      <c r="G91" s="314" t="s">
        <v>488</v>
      </c>
      <c r="H91" s="317" t="s">
        <v>44</v>
      </c>
      <c r="I91" s="345" t="s">
        <v>381</v>
      </c>
      <c r="J91" s="209">
        <f>12437.8592+950.8224-457.46705-518.61158-2.63857-52.82613</f>
        <v>12357.138270000001</v>
      </c>
      <c r="K91" s="209">
        <f>12437.8592+950.8224-457.46705-518.61158-2.63857-52.82613</f>
        <v>12357.138270000001</v>
      </c>
      <c r="L91" s="209">
        <f>12437.8592+1242.1408</f>
        <v>13680</v>
      </c>
      <c r="M91" s="209">
        <v>12437.8592</v>
      </c>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71"/>
    </row>
    <row r="92" spans="1:60" s="53" customFormat="1" ht="30" customHeight="1">
      <c r="A92" s="57"/>
      <c r="B92" s="7" t="s">
        <v>87</v>
      </c>
      <c r="C92" s="52" t="s">
        <v>4</v>
      </c>
      <c r="D92" s="48" t="s">
        <v>46</v>
      </c>
      <c r="E92" s="48" t="s">
        <v>185</v>
      </c>
      <c r="F92" s="48" t="s">
        <v>38</v>
      </c>
      <c r="G92" s="359"/>
      <c r="H92" s="318"/>
      <c r="I92" s="346"/>
      <c r="J92" s="209">
        <f>50+50-50</f>
        <v>50</v>
      </c>
      <c r="K92" s="209">
        <f>50+50-50</f>
        <v>50</v>
      </c>
      <c r="L92" s="209">
        <v>50</v>
      </c>
      <c r="M92" s="209">
        <v>50</v>
      </c>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71"/>
    </row>
    <row r="93" spans="1:60" s="53" customFormat="1" ht="70.5" customHeight="1">
      <c r="A93" s="78" t="s">
        <v>275</v>
      </c>
      <c r="B93" s="116" t="s">
        <v>397</v>
      </c>
      <c r="C93" s="83"/>
      <c r="D93" s="78"/>
      <c r="E93" s="78"/>
      <c r="F93" s="78"/>
      <c r="G93" s="102"/>
      <c r="H93" s="83"/>
      <c r="I93" s="85"/>
      <c r="J93" s="208">
        <f aca="true" t="shared" si="4" ref="J93:M94">J94</f>
        <v>102.05</v>
      </c>
      <c r="K93" s="208">
        <f t="shared" si="4"/>
        <v>102.05</v>
      </c>
      <c r="L93" s="208">
        <f t="shared" si="4"/>
        <v>15.3</v>
      </c>
      <c r="M93" s="208">
        <f t="shared" si="4"/>
        <v>15.3</v>
      </c>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71"/>
    </row>
    <row r="94" spans="1:60" s="53" customFormat="1" ht="45" customHeight="1">
      <c r="A94" s="57"/>
      <c r="B94" s="7" t="s">
        <v>214</v>
      </c>
      <c r="C94" s="52"/>
      <c r="D94" s="48"/>
      <c r="E94" s="2" t="s">
        <v>51</v>
      </c>
      <c r="F94" s="48"/>
      <c r="G94" s="9"/>
      <c r="H94" s="4"/>
      <c r="I94" s="5"/>
      <c r="J94" s="209">
        <f>J95</f>
        <v>102.05</v>
      </c>
      <c r="K94" s="209">
        <f t="shared" si="4"/>
        <v>102.05</v>
      </c>
      <c r="L94" s="209">
        <f t="shared" si="4"/>
        <v>15.3</v>
      </c>
      <c r="M94" s="209">
        <f t="shared" si="4"/>
        <v>15.3</v>
      </c>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71"/>
    </row>
    <row r="95" spans="1:60" s="53" customFormat="1" ht="68.25" customHeight="1">
      <c r="A95" s="57"/>
      <c r="B95" s="7" t="s">
        <v>111</v>
      </c>
      <c r="C95" s="2" t="s">
        <v>367</v>
      </c>
      <c r="D95" s="48" t="s">
        <v>91</v>
      </c>
      <c r="E95" s="2" t="s">
        <v>398</v>
      </c>
      <c r="F95" s="48" t="s">
        <v>38</v>
      </c>
      <c r="G95" s="9" t="s">
        <v>706</v>
      </c>
      <c r="H95" s="4" t="s">
        <v>44</v>
      </c>
      <c r="I95" s="5" t="s">
        <v>592</v>
      </c>
      <c r="J95" s="209">
        <f>102.3-0.25</f>
        <v>102.05</v>
      </c>
      <c r="K95" s="209">
        <f>102.3-0.25</f>
        <v>102.05</v>
      </c>
      <c r="L95" s="209">
        <v>15.3</v>
      </c>
      <c r="M95" s="209">
        <v>15.3</v>
      </c>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71"/>
    </row>
    <row r="96" spans="1:60" s="53" customFormat="1" ht="135" customHeight="1">
      <c r="A96" s="78" t="s">
        <v>186</v>
      </c>
      <c r="B96" s="116" t="s">
        <v>273</v>
      </c>
      <c r="C96" s="83"/>
      <c r="D96" s="78"/>
      <c r="E96" s="78"/>
      <c r="F96" s="78"/>
      <c r="G96" s="102"/>
      <c r="H96" s="83"/>
      <c r="I96" s="85"/>
      <c r="J96" s="208">
        <f>J97</f>
        <v>75</v>
      </c>
      <c r="K96" s="208">
        <f>K97</f>
        <v>75</v>
      </c>
      <c r="L96" s="208">
        <f>L97</f>
        <v>50</v>
      </c>
      <c r="M96" s="208">
        <f>M97</f>
        <v>50</v>
      </c>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71"/>
    </row>
    <row r="97" spans="1:60" s="53" customFormat="1" ht="60" customHeight="1">
      <c r="A97" s="57"/>
      <c r="B97" s="7" t="s">
        <v>101</v>
      </c>
      <c r="C97" s="52"/>
      <c r="D97" s="48"/>
      <c r="E97" s="48"/>
      <c r="F97" s="48"/>
      <c r="G97" s="9"/>
      <c r="H97" s="4"/>
      <c r="I97" s="5"/>
      <c r="J97" s="209">
        <f>J98+J99+J100</f>
        <v>75</v>
      </c>
      <c r="K97" s="209">
        <f>K98+K99+K100</f>
        <v>75</v>
      </c>
      <c r="L97" s="209">
        <f>L98+L99+L100</f>
        <v>50</v>
      </c>
      <c r="M97" s="209">
        <f>M98+M99+M100</f>
        <v>50</v>
      </c>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71"/>
    </row>
    <row r="98" spans="1:60" s="53" customFormat="1" ht="30" customHeight="1">
      <c r="A98" s="57"/>
      <c r="B98" s="7" t="s">
        <v>103</v>
      </c>
      <c r="C98" s="2" t="s">
        <v>367</v>
      </c>
      <c r="D98" s="2" t="s">
        <v>9</v>
      </c>
      <c r="E98" s="91" t="s">
        <v>102</v>
      </c>
      <c r="F98" s="2" t="s">
        <v>38</v>
      </c>
      <c r="G98" s="350" t="s">
        <v>765</v>
      </c>
      <c r="H98" s="384" t="s">
        <v>84</v>
      </c>
      <c r="I98" s="384" t="s">
        <v>169</v>
      </c>
      <c r="J98" s="209">
        <f>25+25</f>
        <v>50</v>
      </c>
      <c r="K98" s="209">
        <f>25+25</f>
        <v>50</v>
      </c>
      <c r="L98" s="209">
        <v>25</v>
      </c>
      <c r="M98" s="209">
        <v>25</v>
      </c>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71"/>
    </row>
    <row r="99" spans="1:60" s="53" customFormat="1" ht="75" customHeight="1">
      <c r="A99" s="57"/>
      <c r="B99" s="7" t="s">
        <v>104</v>
      </c>
      <c r="C99" s="2" t="s">
        <v>367</v>
      </c>
      <c r="D99" s="2" t="s">
        <v>9</v>
      </c>
      <c r="E99" s="91" t="s">
        <v>105</v>
      </c>
      <c r="F99" s="2" t="s">
        <v>38</v>
      </c>
      <c r="G99" s="358"/>
      <c r="H99" s="385"/>
      <c r="I99" s="385"/>
      <c r="J99" s="209">
        <v>15.2</v>
      </c>
      <c r="K99" s="209">
        <v>15.2</v>
      </c>
      <c r="L99" s="209">
        <v>15.2</v>
      </c>
      <c r="M99" s="209">
        <v>15.2</v>
      </c>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71"/>
    </row>
    <row r="100" spans="1:60" s="53" customFormat="1" ht="45" customHeight="1">
      <c r="A100" s="1"/>
      <c r="B100" s="7" t="s">
        <v>107</v>
      </c>
      <c r="C100" s="2" t="s">
        <v>367</v>
      </c>
      <c r="D100" s="2" t="s">
        <v>9</v>
      </c>
      <c r="E100" s="2" t="s">
        <v>106</v>
      </c>
      <c r="F100" s="2" t="s">
        <v>38</v>
      </c>
      <c r="G100" s="358"/>
      <c r="H100" s="385"/>
      <c r="I100" s="385"/>
      <c r="J100" s="209">
        <v>9.8</v>
      </c>
      <c r="K100" s="209">
        <v>9.8</v>
      </c>
      <c r="L100" s="209">
        <v>9.8</v>
      </c>
      <c r="M100" s="209">
        <v>9.8</v>
      </c>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71"/>
    </row>
    <row r="101" spans="1:13" ht="48.75" customHeight="1">
      <c r="A101" s="78" t="s">
        <v>138</v>
      </c>
      <c r="B101" s="79" t="s">
        <v>394</v>
      </c>
      <c r="C101" s="86"/>
      <c r="D101" s="80"/>
      <c r="E101" s="80"/>
      <c r="F101" s="78"/>
      <c r="G101" s="81"/>
      <c r="H101" s="78"/>
      <c r="I101" s="78"/>
      <c r="J101" s="208">
        <f aca="true" t="shared" si="5" ref="J101:M102">J102</f>
        <v>61.5</v>
      </c>
      <c r="K101" s="208">
        <f t="shared" si="5"/>
        <v>61.5</v>
      </c>
      <c r="L101" s="208">
        <f t="shared" si="5"/>
        <v>61.5</v>
      </c>
      <c r="M101" s="208">
        <f t="shared" si="5"/>
        <v>61.5</v>
      </c>
    </row>
    <row r="102" spans="1:13" ht="45" customHeight="1">
      <c r="A102" s="2"/>
      <c r="B102" s="12" t="s">
        <v>110</v>
      </c>
      <c r="C102" s="2"/>
      <c r="D102" s="2"/>
      <c r="E102" s="2" t="s">
        <v>51</v>
      </c>
      <c r="F102" s="2"/>
      <c r="G102" s="25"/>
      <c r="H102" s="2"/>
      <c r="I102" s="2"/>
      <c r="J102" s="209">
        <f t="shared" si="5"/>
        <v>61.5</v>
      </c>
      <c r="K102" s="209">
        <f t="shared" si="5"/>
        <v>61.5</v>
      </c>
      <c r="L102" s="209">
        <f t="shared" si="5"/>
        <v>61.5</v>
      </c>
      <c r="M102" s="209">
        <f t="shared" si="5"/>
        <v>61.5</v>
      </c>
    </row>
    <row r="103" spans="1:61" s="56" customFormat="1" ht="157.5" customHeight="1">
      <c r="A103" s="105"/>
      <c r="B103" s="115" t="s">
        <v>48</v>
      </c>
      <c r="C103" s="2" t="s">
        <v>367</v>
      </c>
      <c r="D103" s="2" t="s">
        <v>91</v>
      </c>
      <c r="E103" s="2" t="s">
        <v>396</v>
      </c>
      <c r="F103" s="2" t="s">
        <v>38</v>
      </c>
      <c r="G103" s="98" t="s">
        <v>892</v>
      </c>
      <c r="H103" s="1" t="s">
        <v>854</v>
      </c>
      <c r="I103" s="1" t="s">
        <v>855</v>
      </c>
      <c r="J103" s="210">
        <v>61.5</v>
      </c>
      <c r="K103" s="210">
        <v>61.5</v>
      </c>
      <c r="L103" s="210">
        <v>61.5</v>
      </c>
      <c r="M103" s="210">
        <v>61.5</v>
      </c>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63"/>
    </row>
    <row r="104" spans="1:61" s="56" customFormat="1" ht="30" customHeight="1">
      <c r="A104" s="78" t="s">
        <v>274</v>
      </c>
      <c r="B104" s="82" t="s">
        <v>395</v>
      </c>
      <c r="C104" s="78"/>
      <c r="D104" s="78"/>
      <c r="E104" s="78"/>
      <c r="F104" s="78"/>
      <c r="G104" s="102"/>
      <c r="H104" s="78"/>
      <c r="I104" s="78"/>
      <c r="J104" s="208">
        <f aca="true" t="shared" si="6" ref="J104:M105">J105</f>
        <v>6791.45172</v>
      </c>
      <c r="K104" s="208">
        <f t="shared" si="6"/>
        <v>6791.45172</v>
      </c>
      <c r="L104" s="208">
        <f t="shared" si="6"/>
        <v>6243.26614</v>
      </c>
      <c r="M104" s="208">
        <f t="shared" si="6"/>
        <v>6229.8640000000005</v>
      </c>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63"/>
    </row>
    <row r="105" spans="1:61" s="56" customFormat="1" ht="45" customHeight="1">
      <c r="A105" s="2"/>
      <c r="B105" s="7" t="s">
        <v>214</v>
      </c>
      <c r="C105" s="2"/>
      <c r="D105" s="2"/>
      <c r="E105" s="2" t="s">
        <v>51</v>
      </c>
      <c r="F105" s="2"/>
      <c r="G105" s="9"/>
      <c r="H105" s="2"/>
      <c r="I105" s="2"/>
      <c r="J105" s="209">
        <f t="shared" si="6"/>
        <v>6791.45172</v>
      </c>
      <c r="K105" s="209">
        <f t="shared" si="6"/>
        <v>6791.45172</v>
      </c>
      <c r="L105" s="209">
        <f t="shared" si="6"/>
        <v>6243.26614</v>
      </c>
      <c r="M105" s="209">
        <f t="shared" si="6"/>
        <v>6229.8640000000005</v>
      </c>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63"/>
    </row>
    <row r="106" spans="1:61" s="56" customFormat="1" ht="45" customHeight="1">
      <c r="A106" s="2"/>
      <c r="B106" s="7" t="s">
        <v>389</v>
      </c>
      <c r="C106" s="2"/>
      <c r="D106" s="2"/>
      <c r="E106" s="2" t="s">
        <v>390</v>
      </c>
      <c r="F106" s="2"/>
      <c r="G106" s="9"/>
      <c r="H106" s="2"/>
      <c r="I106" s="2"/>
      <c r="J106" s="209">
        <f>J107+J108+J109+J110</f>
        <v>6791.45172</v>
      </c>
      <c r="K106" s="209">
        <f>K107+K108+K109+K110</f>
        <v>6791.45172</v>
      </c>
      <c r="L106" s="209">
        <f>L107+L108+L109</f>
        <v>6243.26614</v>
      </c>
      <c r="M106" s="209">
        <f>M107+M108+M109</f>
        <v>6229.8640000000005</v>
      </c>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63"/>
    </row>
    <row r="107" spans="1:61" s="56" customFormat="1" ht="59.25" customHeight="1">
      <c r="A107" s="316"/>
      <c r="B107" s="321" t="s">
        <v>512</v>
      </c>
      <c r="C107" s="2" t="s">
        <v>367</v>
      </c>
      <c r="D107" s="2" t="s">
        <v>91</v>
      </c>
      <c r="E107" s="2" t="s">
        <v>388</v>
      </c>
      <c r="F107" s="2" t="s">
        <v>170</v>
      </c>
      <c r="G107" s="9" t="s">
        <v>882</v>
      </c>
      <c r="H107" s="2" t="s">
        <v>281</v>
      </c>
      <c r="I107" s="2" t="s">
        <v>883</v>
      </c>
      <c r="J107" s="210">
        <v>5254.49333</v>
      </c>
      <c r="K107" s="210">
        <v>5254.49333</v>
      </c>
      <c r="L107" s="210">
        <v>5200.405</v>
      </c>
      <c r="M107" s="210">
        <v>5229.835</v>
      </c>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63"/>
    </row>
    <row r="108" spans="1:61" s="56" customFormat="1" ht="81" customHeight="1">
      <c r="A108" s="319"/>
      <c r="B108" s="375"/>
      <c r="C108" s="2" t="s">
        <v>367</v>
      </c>
      <c r="D108" s="2" t="s">
        <v>91</v>
      </c>
      <c r="E108" s="2" t="s">
        <v>388</v>
      </c>
      <c r="F108" s="2" t="s">
        <v>38</v>
      </c>
      <c r="G108" s="314" t="s">
        <v>870</v>
      </c>
      <c r="H108" s="316" t="s">
        <v>795</v>
      </c>
      <c r="I108" s="316" t="s">
        <v>871</v>
      </c>
      <c r="J108" s="210">
        <v>1072.43491</v>
      </c>
      <c r="K108" s="210">
        <v>1072.43491</v>
      </c>
      <c r="L108" s="210">
        <v>979.44414</v>
      </c>
      <c r="M108" s="210">
        <v>936.612</v>
      </c>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63"/>
    </row>
    <row r="109" spans="1:61" s="56" customFormat="1" ht="62.25" customHeight="1">
      <c r="A109" s="320"/>
      <c r="B109" s="322"/>
      <c r="C109" s="2" t="s">
        <v>367</v>
      </c>
      <c r="D109" s="2" t="s">
        <v>91</v>
      </c>
      <c r="E109" s="2" t="s">
        <v>388</v>
      </c>
      <c r="F109" s="2" t="s">
        <v>39</v>
      </c>
      <c r="G109" s="315"/>
      <c r="H109" s="315"/>
      <c r="I109" s="315"/>
      <c r="J109" s="210">
        <v>66.52348</v>
      </c>
      <c r="K109" s="210">
        <v>66.52348</v>
      </c>
      <c r="L109" s="210">
        <v>63.417</v>
      </c>
      <c r="M109" s="210">
        <v>63.417</v>
      </c>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63"/>
    </row>
    <row r="110" spans="1:61" s="56" customFormat="1" ht="66.75" customHeight="1">
      <c r="A110" s="105"/>
      <c r="B110" s="99" t="s">
        <v>818</v>
      </c>
      <c r="C110" s="2" t="s">
        <v>4</v>
      </c>
      <c r="D110" s="2" t="s">
        <v>816</v>
      </c>
      <c r="E110" s="2" t="s">
        <v>817</v>
      </c>
      <c r="F110" s="2" t="s">
        <v>38</v>
      </c>
      <c r="G110" s="124" t="s">
        <v>707</v>
      </c>
      <c r="H110" s="182" t="s">
        <v>44</v>
      </c>
      <c r="I110" s="182" t="s">
        <v>592</v>
      </c>
      <c r="J110" s="210">
        <f>120+278</f>
        <v>398</v>
      </c>
      <c r="K110" s="210">
        <f>120+278</f>
        <v>398</v>
      </c>
      <c r="L110" s="210">
        <v>0</v>
      </c>
      <c r="M110" s="210">
        <v>0</v>
      </c>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63"/>
    </row>
    <row r="111" spans="1:62" s="58" customFormat="1" ht="135" customHeight="1">
      <c r="A111" s="78" t="s">
        <v>139</v>
      </c>
      <c r="B111" s="79" t="s">
        <v>140</v>
      </c>
      <c r="C111" s="78"/>
      <c r="D111" s="78"/>
      <c r="E111" s="86"/>
      <c r="F111" s="86"/>
      <c r="G111" s="81"/>
      <c r="H111" s="78"/>
      <c r="I111" s="78"/>
      <c r="J111" s="208">
        <f>J112+J127</f>
        <v>43266.64505</v>
      </c>
      <c r="K111" s="208">
        <f>K112+K127</f>
        <v>43266.64505</v>
      </c>
      <c r="L111" s="208">
        <f>L112+L127</f>
        <v>34924.892320000006</v>
      </c>
      <c r="M111" s="208">
        <f>M112+M127</f>
        <v>34250.92642</v>
      </c>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54"/>
      <c r="BJ111" s="24"/>
    </row>
    <row r="112" spans="1:62" s="58" customFormat="1" ht="30" customHeight="1">
      <c r="A112" s="2"/>
      <c r="B112" s="11" t="s">
        <v>251</v>
      </c>
      <c r="C112" s="57"/>
      <c r="D112" s="2"/>
      <c r="E112" s="2" t="s">
        <v>71</v>
      </c>
      <c r="F112" s="57"/>
      <c r="G112" s="27"/>
      <c r="H112" s="2"/>
      <c r="I112" s="2"/>
      <c r="J112" s="209">
        <f>J113+J120</f>
        <v>42366.64505</v>
      </c>
      <c r="K112" s="209">
        <f>K113+K120</f>
        <v>42366.64505</v>
      </c>
      <c r="L112" s="209">
        <f>L113+L120</f>
        <v>34924.892320000006</v>
      </c>
      <c r="M112" s="209">
        <f>M113+M120</f>
        <v>34250.92642</v>
      </c>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54"/>
      <c r="BJ112" s="24"/>
    </row>
    <row r="113" spans="1:61" s="24" customFormat="1" ht="30" customHeight="1">
      <c r="A113" s="2"/>
      <c r="B113" s="6" t="s">
        <v>252</v>
      </c>
      <c r="C113" s="57"/>
      <c r="D113" s="2"/>
      <c r="E113" s="2" t="s">
        <v>83</v>
      </c>
      <c r="F113" s="57"/>
      <c r="G113" s="5"/>
      <c r="H113" s="4"/>
      <c r="I113" s="2"/>
      <c r="J113" s="209">
        <f>J114+J115+J116+J117+J119+J118</f>
        <v>35650.926419999996</v>
      </c>
      <c r="K113" s="209">
        <f>K114+K115+K116+K117+K119+K118</f>
        <v>35650.926419999996</v>
      </c>
      <c r="L113" s="209">
        <f>L114+L115+L116+L117+L119+L118</f>
        <v>34600.92642</v>
      </c>
      <c r="M113" s="209">
        <f>M114+M115+M116+M117+M119+M118</f>
        <v>34250.92642</v>
      </c>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54"/>
    </row>
    <row r="114" spans="1:61" s="24" customFormat="1" ht="60" customHeight="1">
      <c r="A114" s="316"/>
      <c r="B114" s="321" t="s">
        <v>94</v>
      </c>
      <c r="C114" s="2" t="s">
        <v>369</v>
      </c>
      <c r="D114" s="2" t="s">
        <v>72</v>
      </c>
      <c r="E114" s="2" t="s">
        <v>253</v>
      </c>
      <c r="F114" s="1" t="s">
        <v>42</v>
      </c>
      <c r="G114" s="350" t="s">
        <v>757</v>
      </c>
      <c r="H114" s="316" t="s">
        <v>325</v>
      </c>
      <c r="I114" s="316" t="s">
        <v>588</v>
      </c>
      <c r="J114" s="309">
        <v>9626.40298</v>
      </c>
      <c r="K114" s="309">
        <f>8781.00298+845.4</f>
        <v>9626.402979999999</v>
      </c>
      <c r="L114" s="309">
        <v>8781.00298</v>
      </c>
      <c r="M114" s="309">
        <v>8781.00298</v>
      </c>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54"/>
    </row>
    <row r="115" spans="1:61" s="24" customFormat="1" ht="60" customHeight="1">
      <c r="A115" s="320"/>
      <c r="B115" s="322"/>
      <c r="C115" s="2" t="s">
        <v>369</v>
      </c>
      <c r="D115" s="2" t="s">
        <v>72</v>
      </c>
      <c r="E115" s="2" t="s">
        <v>253</v>
      </c>
      <c r="F115" s="1" t="s">
        <v>254</v>
      </c>
      <c r="G115" s="358"/>
      <c r="H115" s="319"/>
      <c r="I115" s="319"/>
      <c r="J115" s="309">
        <f>17705.51123+20.8</f>
        <v>17726.31123</v>
      </c>
      <c r="K115" s="309">
        <f>17705.51123+20.8</f>
        <v>17726.31123</v>
      </c>
      <c r="L115" s="309">
        <v>17705.51123</v>
      </c>
      <c r="M115" s="309">
        <v>17705.51123</v>
      </c>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54"/>
    </row>
    <row r="116" spans="1:13" s="26" customFormat="1" ht="60" customHeight="1">
      <c r="A116" s="2"/>
      <c r="B116" s="11" t="s">
        <v>95</v>
      </c>
      <c r="C116" s="2" t="s">
        <v>369</v>
      </c>
      <c r="D116" s="2" t="s">
        <v>72</v>
      </c>
      <c r="E116" s="2" t="s">
        <v>323</v>
      </c>
      <c r="F116" s="2" t="s">
        <v>42</v>
      </c>
      <c r="G116" s="351"/>
      <c r="H116" s="320"/>
      <c r="I116" s="320"/>
      <c r="J116" s="309">
        <f>7414.41221+133.8</f>
        <v>7548.212210000001</v>
      </c>
      <c r="K116" s="309">
        <f>7414.41221+133.8</f>
        <v>7548.212210000001</v>
      </c>
      <c r="L116" s="309">
        <v>7414.41221</v>
      </c>
      <c r="M116" s="309">
        <v>7414.41221</v>
      </c>
    </row>
    <row r="117" spans="1:61" s="24" customFormat="1" ht="60" customHeight="1">
      <c r="A117" s="2"/>
      <c r="B117" s="321" t="s">
        <v>96</v>
      </c>
      <c r="C117" s="2" t="s">
        <v>369</v>
      </c>
      <c r="D117" s="2" t="s">
        <v>72</v>
      </c>
      <c r="E117" s="2" t="s">
        <v>312</v>
      </c>
      <c r="F117" s="2" t="s">
        <v>42</v>
      </c>
      <c r="G117" s="350" t="s">
        <v>758</v>
      </c>
      <c r="H117" s="317" t="s">
        <v>590</v>
      </c>
      <c r="I117" s="317" t="s">
        <v>729</v>
      </c>
      <c r="J117" s="309">
        <v>359.638</v>
      </c>
      <c r="K117" s="309">
        <v>359.638</v>
      </c>
      <c r="L117" s="309">
        <v>0</v>
      </c>
      <c r="M117" s="309">
        <v>0</v>
      </c>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54"/>
    </row>
    <row r="118" spans="1:61" s="24" customFormat="1" ht="58.5" customHeight="1">
      <c r="A118" s="2"/>
      <c r="B118" s="322"/>
      <c r="C118" s="2" t="s">
        <v>369</v>
      </c>
      <c r="D118" s="2" t="s">
        <v>72</v>
      </c>
      <c r="E118" s="2" t="s">
        <v>312</v>
      </c>
      <c r="F118" s="2" t="s">
        <v>254</v>
      </c>
      <c r="G118" s="351"/>
      <c r="H118" s="318"/>
      <c r="I118" s="318"/>
      <c r="J118" s="309">
        <v>390.362</v>
      </c>
      <c r="K118" s="309">
        <v>390.362</v>
      </c>
      <c r="L118" s="309">
        <v>0</v>
      </c>
      <c r="M118" s="309">
        <v>0</v>
      </c>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54"/>
    </row>
    <row r="119" spans="1:61" s="24" customFormat="1" ht="111.75" customHeight="1">
      <c r="A119" s="2"/>
      <c r="B119" s="7" t="s">
        <v>694</v>
      </c>
      <c r="C119" s="2" t="s">
        <v>369</v>
      </c>
      <c r="D119" s="105" t="s">
        <v>72</v>
      </c>
      <c r="E119" s="2" t="s">
        <v>695</v>
      </c>
      <c r="F119" s="2" t="s">
        <v>42</v>
      </c>
      <c r="G119" s="3" t="s">
        <v>856</v>
      </c>
      <c r="H119" s="107" t="s">
        <v>281</v>
      </c>
      <c r="I119" s="110" t="s">
        <v>857</v>
      </c>
      <c r="J119" s="309">
        <v>0</v>
      </c>
      <c r="K119" s="309">
        <v>0</v>
      </c>
      <c r="L119" s="309">
        <v>700</v>
      </c>
      <c r="M119" s="309">
        <v>350</v>
      </c>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54"/>
    </row>
    <row r="120" spans="1:61" s="24" customFormat="1" ht="45" customHeight="1">
      <c r="A120" s="105"/>
      <c r="B120" s="99" t="s">
        <v>255</v>
      </c>
      <c r="C120" s="2"/>
      <c r="D120" s="105"/>
      <c r="E120" s="105" t="s">
        <v>81</v>
      </c>
      <c r="F120" s="2"/>
      <c r="G120" s="199"/>
      <c r="H120" s="107"/>
      <c r="I120" s="1"/>
      <c r="J120" s="210">
        <f>J125+J123+J124+J126+J121+J122</f>
        <v>6715.71863</v>
      </c>
      <c r="K120" s="210">
        <f>K125+K123+K124+K126+K121+K122</f>
        <v>6715.71863</v>
      </c>
      <c r="L120" s="210">
        <f>L125+L123+L124+L126+L121+L122</f>
        <v>323.9659</v>
      </c>
      <c r="M120" s="210">
        <f>M125+M123+M124+M126</f>
        <v>0</v>
      </c>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54"/>
    </row>
    <row r="121" spans="1:61" s="24" customFormat="1" ht="61.5" customHeight="1">
      <c r="A121" s="105"/>
      <c r="B121" s="321" t="s">
        <v>911</v>
      </c>
      <c r="C121" s="2" t="s">
        <v>369</v>
      </c>
      <c r="D121" s="1" t="s">
        <v>72</v>
      </c>
      <c r="E121" s="1" t="s">
        <v>910</v>
      </c>
      <c r="F121" s="2" t="s">
        <v>42</v>
      </c>
      <c r="G121" s="350" t="s">
        <v>912</v>
      </c>
      <c r="H121" s="317" t="s">
        <v>913</v>
      </c>
      <c r="I121" s="316" t="s">
        <v>917</v>
      </c>
      <c r="J121" s="210">
        <v>271.62</v>
      </c>
      <c r="K121" s="210">
        <v>271.62</v>
      </c>
      <c r="L121" s="210">
        <v>0</v>
      </c>
      <c r="M121" s="217">
        <v>0</v>
      </c>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54"/>
    </row>
    <row r="122" spans="1:61" s="24" customFormat="1" ht="60.75" customHeight="1">
      <c r="A122" s="105"/>
      <c r="B122" s="335"/>
      <c r="C122" s="2" t="s">
        <v>369</v>
      </c>
      <c r="D122" s="2" t="s">
        <v>72</v>
      </c>
      <c r="E122" s="2" t="s">
        <v>910</v>
      </c>
      <c r="F122" s="2" t="s">
        <v>254</v>
      </c>
      <c r="G122" s="315"/>
      <c r="H122" s="318"/>
      <c r="I122" s="315"/>
      <c r="J122" s="210">
        <v>690.3</v>
      </c>
      <c r="K122" s="210">
        <v>690.3</v>
      </c>
      <c r="L122" s="210">
        <v>0</v>
      </c>
      <c r="M122" s="217">
        <v>0</v>
      </c>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54"/>
    </row>
    <row r="123" spans="1:61" s="24" customFormat="1" ht="69.75" customHeight="1">
      <c r="A123" s="2"/>
      <c r="B123" s="321" t="s">
        <v>76</v>
      </c>
      <c r="C123" s="2" t="s">
        <v>369</v>
      </c>
      <c r="D123" s="2" t="s">
        <v>72</v>
      </c>
      <c r="E123" s="2" t="s">
        <v>256</v>
      </c>
      <c r="F123" s="2" t="s">
        <v>42</v>
      </c>
      <c r="G123" s="329" t="s">
        <v>914</v>
      </c>
      <c r="H123" s="316" t="s">
        <v>455</v>
      </c>
      <c r="I123" s="316" t="s">
        <v>730</v>
      </c>
      <c r="J123" s="210">
        <v>143.568</v>
      </c>
      <c r="K123" s="210">
        <v>143.568</v>
      </c>
      <c r="L123" s="210">
        <v>0</v>
      </c>
      <c r="M123" s="217">
        <v>0</v>
      </c>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54"/>
    </row>
    <row r="124" spans="1:61" s="24" customFormat="1" ht="60" customHeight="1">
      <c r="A124" s="2"/>
      <c r="B124" s="335"/>
      <c r="C124" s="2" t="s">
        <v>369</v>
      </c>
      <c r="D124" s="105" t="s">
        <v>72</v>
      </c>
      <c r="E124" s="105" t="s">
        <v>256</v>
      </c>
      <c r="F124" s="2" t="s">
        <v>254</v>
      </c>
      <c r="G124" s="328"/>
      <c r="H124" s="315"/>
      <c r="I124" s="315"/>
      <c r="J124" s="210">
        <f>249.506-42.573</f>
        <v>206.933</v>
      </c>
      <c r="K124" s="210">
        <f>249.506-42.573</f>
        <v>206.933</v>
      </c>
      <c r="L124" s="210">
        <v>0</v>
      </c>
      <c r="M124" s="217">
        <v>0</v>
      </c>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54"/>
    </row>
    <row r="125" spans="1:61" s="24" customFormat="1" ht="55.5" customHeight="1">
      <c r="A125" s="316"/>
      <c r="B125" s="373" t="s">
        <v>321</v>
      </c>
      <c r="C125" s="2" t="s">
        <v>369</v>
      </c>
      <c r="D125" s="2" t="s">
        <v>72</v>
      </c>
      <c r="E125" s="133" t="s">
        <v>322</v>
      </c>
      <c r="F125" s="2" t="s">
        <v>42</v>
      </c>
      <c r="G125" s="379" t="s">
        <v>915</v>
      </c>
      <c r="H125" s="317" t="s">
        <v>589</v>
      </c>
      <c r="I125" s="317" t="s">
        <v>918</v>
      </c>
      <c r="J125" s="236">
        <v>2775.27667</v>
      </c>
      <c r="K125" s="236">
        <v>2775.27667</v>
      </c>
      <c r="L125" s="236">
        <v>0</v>
      </c>
      <c r="M125" s="312">
        <v>0</v>
      </c>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54"/>
    </row>
    <row r="126" spans="1:61" s="24" customFormat="1" ht="72.75" customHeight="1">
      <c r="A126" s="320"/>
      <c r="B126" s="374"/>
      <c r="C126" s="2" t="s">
        <v>369</v>
      </c>
      <c r="D126" s="2" t="s">
        <v>72</v>
      </c>
      <c r="E126" s="133" t="s">
        <v>322</v>
      </c>
      <c r="F126" s="2" t="s">
        <v>254</v>
      </c>
      <c r="G126" s="380"/>
      <c r="H126" s="318"/>
      <c r="I126" s="318"/>
      <c r="J126" s="236">
        <v>2628.02096</v>
      </c>
      <c r="K126" s="236">
        <v>2628.02096</v>
      </c>
      <c r="L126" s="236">
        <v>323.9659</v>
      </c>
      <c r="M126" s="312">
        <v>0</v>
      </c>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54"/>
    </row>
    <row r="127" spans="1:61" s="24" customFormat="1" ht="45">
      <c r="A127" s="105"/>
      <c r="B127" s="187" t="s">
        <v>830</v>
      </c>
      <c r="C127" s="2"/>
      <c r="D127" s="2"/>
      <c r="E127" s="133" t="s">
        <v>65</v>
      </c>
      <c r="F127" s="2"/>
      <c r="G127" s="298"/>
      <c r="H127" s="100"/>
      <c r="I127" s="100"/>
      <c r="J127" s="236">
        <f>J128</f>
        <v>900</v>
      </c>
      <c r="K127" s="236">
        <f>K128</f>
        <v>900</v>
      </c>
      <c r="L127" s="236">
        <f>L128</f>
        <v>0</v>
      </c>
      <c r="M127" s="236">
        <f>M128</f>
        <v>0</v>
      </c>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54"/>
    </row>
    <row r="128" spans="1:61" s="24" customFormat="1" ht="72.75" customHeight="1">
      <c r="A128" s="105"/>
      <c r="B128" s="187" t="s">
        <v>974</v>
      </c>
      <c r="C128" s="2" t="s">
        <v>369</v>
      </c>
      <c r="D128" s="2" t="s">
        <v>72</v>
      </c>
      <c r="E128" s="133" t="s">
        <v>973</v>
      </c>
      <c r="F128" s="2" t="s">
        <v>42</v>
      </c>
      <c r="G128" s="306" t="s">
        <v>984</v>
      </c>
      <c r="H128" s="100" t="s">
        <v>281</v>
      </c>
      <c r="I128" s="100" t="s">
        <v>983</v>
      </c>
      <c r="J128" s="236">
        <v>900</v>
      </c>
      <c r="K128" s="236">
        <v>900</v>
      </c>
      <c r="L128" s="236">
        <v>0</v>
      </c>
      <c r="M128" s="312">
        <v>0</v>
      </c>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54"/>
    </row>
    <row r="129" spans="1:62" s="58" customFormat="1" ht="180" customHeight="1">
      <c r="A129" s="78" t="s">
        <v>141</v>
      </c>
      <c r="B129" s="79" t="s">
        <v>142</v>
      </c>
      <c r="C129" s="78"/>
      <c r="D129" s="78"/>
      <c r="E129" s="86"/>
      <c r="F129" s="86"/>
      <c r="G129" s="86"/>
      <c r="H129" s="78"/>
      <c r="I129" s="78"/>
      <c r="J129" s="208">
        <f>J130</f>
        <v>58789.26463</v>
      </c>
      <c r="K129" s="208">
        <f>K130</f>
        <v>58489.66063</v>
      </c>
      <c r="L129" s="208">
        <f>L130</f>
        <v>44348.206959999996</v>
      </c>
      <c r="M129" s="208">
        <f>M130</f>
        <v>53148.27896</v>
      </c>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54"/>
      <c r="BJ129" s="24"/>
    </row>
    <row r="130" spans="1:62" s="58" customFormat="1" ht="30" customHeight="1">
      <c r="A130" s="2"/>
      <c r="B130" s="11" t="s">
        <v>277</v>
      </c>
      <c r="C130" s="57"/>
      <c r="D130" s="2"/>
      <c r="E130" s="2" t="s">
        <v>71</v>
      </c>
      <c r="F130" s="57"/>
      <c r="G130" s="27"/>
      <c r="H130" s="2"/>
      <c r="I130" s="2"/>
      <c r="J130" s="209">
        <f>J131+J143+J145</f>
        <v>58789.26463</v>
      </c>
      <c r="K130" s="209">
        <f>K131+K143+K145</f>
        <v>58489.66063</v>
      </c>
      <c r="L130" s="209">
        <f>L131+L143+L145</f>
        <v>44348.206959999996</v>
      </c>
      <c r="M130" s="209">
        <f>M131+M143+M145</f>
        <v>53148.27896</v>
      </c>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54"/>
      <c r="BJ130" s="24"/>
    </row>
    <row r="131" spans="1:61" s="24" customFormat="1" ht="30" customHeight="1">
      <c r="A131" s="2"/>
      <c r="B131" s="6" t="s">
        <v>278</v>
      </c>
      <c r="C131" s="57"/>
      <c r="D131" s="2"/>
      <c r="E131" s="2" t="s">
        <v>83</v>
      </c>
      <c r="F131" s="57"/>
      <c r="G131" s="5"/>
      <c r="H131" s="4"/>
      <c r="I131" s="2"/>
      <c r="J131" s="209">
        <f>J133+J134+J136+J137+J138+J139+J140+J141+J135+J132</f>
        <v>50285.20276</v>
      </c>
      <c r="K131" s="209">
        <f>K133+K134+K136+K137+K138+K139+K140+K141+K135+K132</f>
        <v>49985.59876</v>
      </c>
      <c r="L131" s="209">
        <f>L133+L134+L136+L137+L138+L139+L140+L141+L135</f>
        <v>44088.206959999996</v>
      </c>
      <c r="M131" s="209">
        <f>M133+M134+M136+M137+M138+M139+M140+M141+M135</f>
        <v>43521.87896</v>
      </c>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54"/>
    </row>
    <row r="132" spans="1:65" s="56" customFormat="1" ht="120.75" customHeight="1">
      <c r="A132" s="2"/>
      <c r="B132" s="6" t="s">
        <v>936</v>
      </c>
      <c r="C132" s="2" t="s">
        <v>369</v>
      </c>
      <c r="D132" s="2" t="s">
        <v>70</v>
      </c>
      <c r="E132" s="2" t="s">
        <v>935</v>
      </c>
      <c r="F132" s="2" t="s">
        <v>42</v>
      </c>
      <c r="G132" s="92" t="s">
        <v>938</v>
      </c>
      <c r="H132" s="98" t="s">
        <v>281</v>
      </c>
      <c r="I132" s="97" t="s">
        <v>939</v>
      </c>
      <c r="J132" s="209">
        <v>98.9298</v>
      </c>
      <c r="K132" s="209">
        <v>98.9298</v>
      </c>
      <c r="L132" s="209">
        <v>0</v>
      </c>
      <c r="M132" s="209">
        <v>0</v>
      </c>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63"/>
    </row>
    <row r="133" spans="1:65" s="56" customFormat="1" ht="177.75" customHeight="1">
      <c r="A133" s="2"/>
      <c r="B133" s="11" t="s">
        <v>575</v>
      </c>
      <c r="C133" s="2" t="s">
        <v>369</v>
      </c>
      <c r="D133" s="2" t="s">
        <v>70</v>
      </c>
      <c r="E133" s="2" t="s">
        <v>279</v>
      </c>
      <c r="F133" s="2" t="s">
        <v>42</v>
      </c>
      <c r="G133" s="92" t="s">
        <v>759</v>
      </c>
      <c r="H133" s="1" t="s">
        <v>325</v>
      </c>
      <c r="I133" s="1" t="s">
        <v>588</v>
      </c>
      <c r="J133" s="309">
        <v>15122.11296</v>
      </c>
      <c r="K133" s="309">
        <v>15122.11296</v>
      </c>
      <c r="L133" s="309">
        <v>15122.11296</v>
      </c>
      <c r="M133" s="309">
        <v>15122.11296</v>
      </c>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63"/>
    </row>
    <row r="134" spans="1:64" ht="230.25" customHeight="1">
      <c r="A134" s="105"/>
      <c r="B134" s="12" t="s">
        <v>872</v>
      </c>
      <c r="C134" s="2" t="s">
        <v>369</v>
      </c>
      <c r="D134" s="106" t="s">
        <v>70</v>
      </c>
      <c r="E134" s="2" t="s">
        <v>315</v>
      </c>
      <c r="F134" s="2" t="s">
        <v>42</v>
      </c>
      <c r="G134" s="92" t="s">
        <v>760</v>
      </c>
      <c r="H134" s="2" t="s">
        <v>542</v>
      </c>
      <c r="I134" s="1" t="s">
        <v>591</v>
      </c>
      <c r="J134" s="309">
        <f>307.29+3789.9</f>
        <v>4097.1900000000005</v>
      </c>
      <c r="K134" s="309">
        <f>307.29+3789.9</f>
        <v>4097.1900000000005</v>
      </c>
      <c r="L134" s="309">
        <f>307.29+3789.9</f>
        <v>4097.1900000000005</v>
      </c>
      <c r="M134" s="309">
        <f>307.29+3789.9</f>
        <v>4097.1900000000005</v>
      </c>
      <c r="BI134" s="26"/>
      <c r="BJ134" s="26"/>
      <c r="BK134" s="26"/>
      <c r="BL134" s="26"/>
    </row>
    <row r="135" spans="1:64" ht="150.75" customHeight="1">
      <c r="A135" s="105"/>
      <c r="B135" s="12" t="s">
        <v>690</v>
      </c>
      <c r="C135" s="2" t="s">
        <v>369</v>
      </c>
      <c r="D135" s="195" t="s">
        <v>70</v>
      </c>
      <c r="E135" s="10" t="s">
        <v>691</v>
      </c>
      <c r="F135" s="2" t="s">
        <v>42</v>
      </c>
      <c r="G135" s="135" t="s">
        <v>692</v>
      </c>
      <c r="H135" s="2" t="s">
        <v>542</v>
      </c>
      <c r="I135" s="195" t="s">
        <v>693</v>
      </c>
      <c r="J135" s="309">
        <v>21813.316</v>
      </c>
      <c r="K135" s="309">
        <v>21813.316</v>
      </c>
      <c r="L135" s="309">
        <v>22528.624</v>
      </c>
      <c r="M135" s="309">
        <v>21962.296</v>
      </c>
      <c r="BI135" s="26"/>
      <c r="BJ135" s="26"/>
      <c r="BK135" s="26"/>
      <c r="BL135" s="26"/>
    </row>
    <row r="136" spans="1:64" ht="99" customHeight="1">
      <c r="A136" s="57"/>
      <c r="B136" s="7" t="s">
        <v>73</v>
      </c>
      <c r="C136" s="2" t="s">
        <v>369</v>
      </c>
      <c r="D136" s="2" t="s">
        <v>70</v>
      </c>
      <c r="E136" s="2" t="s">
        <v>282</v>
      </c>
      <c r="F136" s="2" t="s">
        <v>42</v>
      </c>
      <c r="G136" s="3" t="s">
        <v>758</v>
      </c>
      <c r="H136" s="2" t="s">
        <v>280</v>
      </c>
      <c r="I136" s="106" t="s">
        <v>741</v>
      </c>
      <c r="J136" s="309">
        <v>0</v>
      </c>
      <c r="K136" s="309">
        <v>0</v>
      </c>
      <c r="L136" s="309">
        <v>0</v>
      </c>
      <c r="M136" s="309">
        <v>0</v>
      </c>
      <c r="BI136" s="26"/>
      <c r="BJ136" s="26"/>
      <c r="BK136" s="26"/>
      <c r="BL136" s="26"/>
    </row>
    <row r="137" spans="1:64" ht="159" customHeight="1">
      <c r="A137" s="2"/>
      <c r="B137" s="11" t="s">
        <v>873</v>
      </c>
      <c r="C137" s="2" t="s">
        <v>369</v>
      </c>
      <c r="D137" s="2" t="s">
        <v>70</v>
      </c>
      <c r="E137" s="2" t="s">
        <v>283</v>
      </c>
      <c r="F137" s="2" t="s">
        <v>42</v>
      </c>
      <c r="G137" s="3" t="s">
        <v>762</v>
      </c>
      <c r="H137" s="4" t="s">
        <v>280</v>
      </c>
      <c r="I137" s="2" t="s">
        <v>763</v>
      </c>
      <c r="J137" s="309">
        <v>744.604</v>
      </c>
      <c r="K137" s="309">
        <v>445</v>
      </c>
      <c r="L137" s="309">
        <v>445</v>
      </c>
      <c r="M137" s="309">
        <v>445</v>
      </c>
      <c r="BI137" s="26"/>
      <c r="BJ137" s="26"/>
      <c r="BK137" s="26"/>
      <c r="BL137" s="26"/>
    </row>
    <row r="138" spans="1:64" ht="42.75" customHeight="1">
      <c r="A138" s="2"/>
      <c r="B138" s="11" t="s">
        <v>874</v>
      </c>
      <c r="C138" s="2" t="s">
        <v>369</v>
      </c>
      <c r="D138" s="2" t="s">
        <v>70</v>
      </c>
      <c r="E138" s="2" t="s">
        <v>284</v>
      </c>
      <c r="F138" s="2" t="s">
        <v>42</v>
      </c>
      <c r="G138" s="350" t="s">
        <v>772</v>
      </c>
      <c r="H138" s="317" t="s">
        <v>327</v>
      </c>
      <c r="I138" s="316" t="s">
        <v>730</v>
      </c>
      <c r="J138" s="309">
        <v>4965.57</v>
      </c>
      <c r="K138" s="309">
        <v>4965.57</v>
      </c>
      <c r="L138" s="309">
        <v>0</v>
      </c>
      <c r="M138" s="309">
        <v>0</v>
      </c>
      <c r="BI138" s="26"/>
      <c r="BJ138" s="26"/>
      <c r="BK138" s="26"/>
      <c r="BL138" s="26"/>
    </row>
    <row r="139" spans="1:64" ht="49.5" customHeight="1">
      <c r="A139" s="2"/>
      <c r="B139" s="11" t="s">
        <v>285</v>
      </c>
      <c r="C139" s="2" t="s">
        <v>369</v>
      </c>
      <c r="D139" s="2" t="s">
        <v>70</v>
      </c>
      <c r="E139" s="2" t="s">
        <v>313</v>
      </c>
      <c r="F139" s="2" t="s">
        <v>42</v>
      </c>
      <c r="G139" s="358"/>
      <c r="H139" s="347"/>
      <c r="I139" s="319"/>
      <c r="J139" s="309">
        <f>1895.28+516.8</f>
        <v>2412.08</v>
      </c>
      <c r="K139" s="309">
        <f>1895.28+516.8</f>
        <v>2412.08</v>
      </c>
      <c r="L139" s="309">
        <v>1895.28</v>
      </c>
      <c r="M139" s="309">
        <v>1895.28</v>
      </c>
      <c r="BI139" s="26"/>
      <c r="BJ139" s="26"/>
      <c r="BK139" s="26"/>
      <c r="BL139" s="26"/>
    </row>
    <row r="140" spans="1:65" s="24" customFormat="1" ht="76.5" customHeight="1">
      <c r="A140" s="106"/>
      <c r="B140" s="120" t="s">
        <v>96</v>
      </c>
      <c r="C140" s="2" t="s">
        <v>369</v>
      </c>
      <c r="D140" s="2" t="s">
        <v>70</v>
      </c>
      <c r="E140" s="2" t="s">
        <v>312</v>
      </c>
      <c r="F140" s="2" t="s">
        <v>42</v>
      </c>
      <c r="G140" s="351"/>
      <c r="H140" s="318"/>
      <c r="I140" s="320"/>
      <c r="J140" s="309">
        <v>1031.4</v>
      </c>
      <c r="K140" s="309">
        <v>1031.4</v>
      </c>
      <c r="L140" s="309">
        <v>0</v>
      </c>
      <c r="M140" s="309">
        <v>0</v>
      </c>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54"/>
    </row>
    <row r="141" spans="1:13" s="26" customFormat="1" ht="32.25" customHeight="1">
      <c r="A141" s="106"/>
      <c r="B141" s="12" t="s">
        <v>584</v>
      </c>
      <c r="C141" s="2"/>
      <c r="D141" s="2"/>
      <c r="E141" s="10" t="s">
        <v>583</v>
      </c>
      <c r="F141" s="2"/>
      <c r="G141" s="145"/>
      <c r="H141" s="168"/>
      <c r="I141" s="134"/>
      <c r="J141" s="222">
        <f>J142</f>
        <v>0</v>
      </c>
      <c r="K141" s="251">
        <f>K142</f>
        <v>0</v>
      </c>
      <c r="L141" s="222">
        <f>L142</f>
        <v>0</v>
      </c>
      <c r="M141" s="222">
        <f>M142</f>
        <v>0</v>
      </c>
    </row>
    <row r="142" spans="1:13" s="26" customFormat="1" ht="72.75" customHeight="1">
      <c r="A142" s="106"/>
      <c r="B142" s="115" t="s">
        <v>489</v>
      </c>
      <c r="C142" s="2" t="s">
        <v>369</v>
      </c>
      <c r="D142" s="2" t="s">
        <v>70</v>
      </c>
      <c r="E142" s="106" t="s">
        <v>528</v>
      </c>
      <c r="F142" s="2" t="s">
        <v>42</v>
      </c>
      <c r="G142" s="97" t="s">
        <v>916</v>
      </c>
      <c r="H142" s="1" t="s">
        <v>543</v>
      </c>
      <c r="I142" s="1" t="s">
        <v>611</v>
      </c>
      <c r="J142" s="309">
        <f>0.39749-0.39749</f>
        <v>0</v>
      </c>
      <c r="K142" s="309">
        <f>0.39749-0.39749</f>
        <v>0</v>
      </c>
      <c r="L142" s="309">
        <f>0.39749-0.39749</f>
        <v>0</v>
      </c>
      <c r="M142" s="309">
        <f>0.39749-0.39749</f>
        <v>0</v>
      </c>
    </row>
    <row r="143" spans="1:64" ht="30" customHeight="1">
      <c r="A143" s="29"/>
      <c r="B143" s="11" t="s">
        <v>74</v>
      </c>
      <c r="C143" s="2"/>
      <c r="D143" s="2"/>
      <c r="E143" s="2" t="s">
        <v>82</v>
      </c>
      <c r="F143" s="57"/>
      <c r="G143" s="29"/>
      <c r="H143" s="11"/>
      <c r="I143" s="11"/>
      <c r="J143" s="209">
        <f>J144</f>
        <v>0</v>
      </c>
      <c r="K143" s="209">
        <f>K144</f>
        <v>0</v>
      </c>
      <c r="L143" s="209">
        <f>L144</f>
        <v>260</v>
      </c>
      <c r="M143" s="209">
        <f>M144</f>
        <v>260</v>
      </c>
      <c r="BI143" s="26"/>
      <c r="BJ143" s="26"/>
      <c r="BK143" s="26"/>
      <c r="BL143" s="26"/>
    </row>
    <row r="144" spans="1:65" s="24" customFormat="1" ht="99" customHeight="1">
      <c r="A144" s="2"/>
      <c r="B144" s="120" t="s">
        <v>287</v>
      </c>
      <c r="C144" s="2" t="s">
        <v>369</v>
      </c>
      <c r="D144" s="2" t="s">
        <v>70</v>
      </c>
      <c r="E144" s="2" t="s">
        <v>262</v>
      </c>
      <c r="F144" s="2" t="s">
        <v>42</v>
      </c>
      <c r="G144" s="27" t="s">
        <v>731</v>
      </c>
      <c r="H144" s="106" t="s">
        <v>328</v>
      </c>
      <c r="I144" s="2" t="s">
        <v>730</v>
      </c>
      <c r="J144" s="309">
        <f>260-260</f>
        <v>0</v>
      </c>
      <c r="K144" s="309">
        <f>260-260</f>
        <v>0</v>
      </c>
      <c r="L144" s="309">
        <v>260</v>
      </c>
      <c r="M144" s="309">
        <v>260</v>
      </c>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54"/>
    </row>
    <row r="145" spans="1:65" s="24" customFormat="1" ht="30" customHeight="1">
      <c r="A145" s="29"/>
      <c r="B145" s="11" t="s">
        <v>288</v>
      </c>
      <c r="C145" s="57"/>
      <c r="D145" s="2"/>
      <c r="E145" s="2" t="s">
        <v>81</v>
      </c>
      <c r="F145" s="57"/>
      <c r="G145" s="29"/>
      <c r="H145" s="29"/>
      <c r="I145" s="29"/>
      <c r="J145" s="209">
        <f>J148+J147+J149+J146</f>
        <v>8504.06187</v>
      </c>
      <c r="K145" s="209">
        <f>K148+K147+K149+K146</f>
        <v>8504.06187</v>
      </c>
      <c r="L145" s="209">
        <f>L148+L147+L149+L146</f>
        <v>0</v>
      </c>
      <c r="M145" s="209">
        <f>M148+M147+M149+M146</f>
        <v>9366.4</v>
      </c>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54"/>
    </row>
    <row r="146" spans="1:65" s="24" customFormat="1" ht="80.25" customHeight="1">
      <c r="A146" s="280"/>
      <c r="B146" s="11" t="s">
        <v>941</v>
      </c>
      <c r="C146" s="2" t="s">
        <v>369</v>
      </c>
      <c r="D146" s="2" t="s">
        <v>70</v>
      </c>
      <c r="E146" s="2" t="s">
        <v>940</v>
      </c>
      <c r="F146" s="2" t="s">
        <v>42</v>
      </c>
      <c r="G146" s="98" t="s">
        <v>942</v>
      </c>
      <c r="H146" s="107" t="s">
        <v>543</v>
      </c>
      <c r="I146" s="107" t="s">
        <v>592</v>
      </c>
      <c r="J146" s="209">
        <v>678.19967</v>
      </c>
      <c r="K146" s="209">
        <v>678.19967</v>
      </c>
      <c r="L146" s="209">
        <v>0</v>
      </c>
      <c r="M146" s="209">
        <v>0</v>
      </c>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54"/>
    </row>
    <row r="147" spans="1:65" s="24" customFormat="1" ht="119.25" customHeight="1">
      <c r="A147" s="152"/>
      <c r="B147" s="12" t="s">
        <v>321</v>
      </c>
      <c r="C147" s="2" t="s">
        <v>369</v>
      </c>
      <c r="D147" s="2" t="s">
        <v>70</v>
      </c>
      <c r="E147" s="133" t="s">
        <v>322</v>
      </c>
      <c r="F147" s="2" t="s">
        <v>42</v>
      </c>
      <c r="G147" s="97" t="s">
        <v>919</v>
      </c>
      <c r="H147" s="152" t="s">
        <v>454</v>
      </c>
      <c r="I147" s="1" t="s">
        <v>920</v>
      </c>
      <c r="J147" s="309">
        <v>6485.9202</v>
      </c>
      <c r="K147" s="309">
        <v>6485.9202</v>
      </c>
      <c r="L147" s="309">
        <f>10002.66077-2500.66519-7501.99558</f>
        <v>0</v>
      </c>
      <c r="M147" s="309">
        <f>2341.6+7024.8</f>
        <v>9366.4</v>
      </c>
      <c r="N147" s="26"/>
      <c r="O147" s="26"/>
      <c r="P147" s="121"/>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54"/>
    </row>
    <row r="148" spans="1:65" s="24" customFormat="1" ht="119.25" customHeight="1">
      <c r="A148" s="1"/>
      <c r="B148" s="115" t="s">
        <v>76</v>
      </c>
      <c r="C148" s="2" t="s">
        <v>369</v>
      </c>
      <c r="D148" s="2" t="s">
        <v>70</v>
      </c>
      <c r="E148" s="106" t="s">
        <v>256</v>
      </c>
      <c r="F148" s="2" t="s">
        <v>42</v>
      </c>
      <c r="G148" s="97" t="s">
        <v>921</v>
      </c>
      <c r="H148" s="1" t="s">
        <v>455</v>
      </c>
      <c r="I148" s="1" t="s">
        <v>730</v>
      </c>
      <c r="J148" s="309">
        <f>1500-42.573-422.258+42.573+60</f>
        <v>1137.742</v>
      </c>
      <c r="K148" s="309">
        <f>1500-42.573-422.258+42.573+60</f>
        <v>1137.742</v>
      </c>
      <c r="L148" s="309">
        <v>0</v>
      </c>
      <c r="M148" s="309">
        <v>0</v>
      </c>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54"/>
    </row>
    <row r="149" spans="1:65" s="24" customFormat="1" ht="117.75" customHeight="1">
      <c r="A149" s="1"/>
      <c r="B149" s="115" t="s">
        <v>851</v>
      </c>
      <c r="C149" s="2" t="s">
        <v>369</v>
      </c>
      <c r="D149" s="2" t="s">
        <v>70</v>
      </c>
      <c r="E149" s="265" t="s">
        <v>850</v>
      </c>
      <c r="F149" s="2" t="s">
        <v>42</v>
      </c>
      <c r="G149" s="97" t="s">
        <v>914</v>
      </c>
      <c r="H149" s="1" t="s">
        <v>455</v>
      </c>
      <c r="I149" s="1" t="s">
        <v>730</v>
      </c>
      <c r="J149" s="309">
        <v>202.2</v>
      </c>
      <c r="K149" s="309">
        <v>202.2</v>
      </c>
      <c r="L149" s="309">
        <v>0</v>
      </c>
      <c r="M149" s="309">
        <v>0</v>
      </c>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54"/>
    </row>
    <row r="150" spans="1:62" s="58" customFormat="1" ht="180" customHeight="1">
      <c r="A150" s="78" t="s">
        <v>143</v>
      </c>
      <c r="B150" s="79" t="s">
        <v>144</v>
      </c>
      <c r="C150" s="78"/>
      <c r="D150" s="78"/>
      <c r="E150" s="86"/>
      <c r="F150" s="86"/>
      <c r="G150" s="81"/>
      <c r="H150" s="78"/>
      <c r="I150" s="78"/>
      <c r="J150" s="208">
        <f aca="true" t="shared" si="7" ref="J150:M152">J151</f>
        <v>18110.13841</v>
      </c>
      <c r="K150" s="208">
        <f t="shared" si="7"/>
        <v>18110.13841</v>
      </c>
      <c r="L150" s="208">
        <f t="shared" si="7"/>
        <v>10019.85664</v>
      </c>
      <c r="M150" s="208">
        <f t="shared" si="7"/>
        <v>10019.85664</v>
      </c>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54"/>
      <c r="BJ150" s="24"/>
    </row>
    <row r="151" spans="1:65" s="24" customFormat="1" ht="30" customHeight="1">
      <c r="A151" s="2"/>
      <c r="B151" s="11" t="s">
        <v>277</v>
      </c>
      <c r="C151" s="57"/>
      <c r="D151" s="2"/>
      <c r="E151" s="2" t="s">
        <v>71</v>
      </c>
      <c r="F151" s="57"/>
      <c r="G151" s="3"/>
      <c r="H151" s="2"/>
      <c r="I151" s="2"/>
      <c r="J151" s="209">
        <f>J152+J154</f>
        <v>18110.13841</v>
      </c>
      <c r="K151" s="209">
        <f>K152+K154</f>
        <v>18110.13841</v>
      </c>
      <c r="L151" s="209">
        <f>L152+L154</f>
        <v>10019.85664</v>
      </c>
      <c r="M151" s="209">
        <f>M152+M154</f>
        <v>10019.85664</v>
      </c>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54"/>
    </row>
    <row r="152" spans="1:65" s="24" customFormat="1" ht="30" customHeight="1">
      <c r="A152" s="2"/>
      <c r="B152" s="6" t="s">
        <v>278</v>
      </c>
      <c r="C152" s="57"/>
      <c r="D152" s="2"/>
      <c r="E152" s="2" t="s">
        <v>83</v>
      </c>
      <c r="F152" s="57"/>
      <c r="G152" s="5"/>
      <c r="H152" s="4"/>
      <c r="I152" s="2"/>
      <c r="J152" s="209">
        <f>J153</f>
        <v>10019.85664</v>
      </c>
      <c r="K152" s="209">
        <f t="shared" si="7"/>
        <v>10019.85664</v>
      </c>
      <c r="L152" s="209">
        <f t="shared" si="7"/>
        <v>10019.85664</v>
      </c>
      <c r="M152" s="209">
        <f t="shared" si="7"/>
        <v>10019.85664</v>
      </c>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54"/>
    </row>
    <row r="153" spans="1:65" s="24" customFormat="1" ht="182.25" customHeight="1">
      <c r="A153" s="5"/>
      <c r="B153" s="11" t="s">
        <v>93</v>
      </c>
      <c r="C153" s="2" t="s">
        <v>369</v>
      </c>
      <c r="D153" s="2" t="s">
        <v>70</v>
      </c>
      <c r="E153" s="2" t="s">
        <v>289</v>
      </c>
      <c r="F153" s="2" t="s">
        <v>42</v>
      </c>
      <c r="G153" s="92" t="s">
        <v>759</v>
      </c>
      <c r="H153" s="1" t="s">
        <v>281</v>
      </c>
      <c r="I153" s="1" t="s">
        <v>593</v>
      </c>
      <c r="J153" s="309">
        <v>10019.85664</v>
      </c>
      <c r="K153" s="309">
        <v>10019.85664</v>
      </c>
      <c r="L153" s="309">
        <v>10019.85664</v>
      </c>
      <c r="M153" s="309">
        <v>10019.85664</v>
      </c>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54"/>
    </row>
    <row r="154" spans="1:65" s="24" customFormat="1" ht="51.75" customHeight="1">
      <c r="A154" s="5"/>
      <c r="B154" s="11" t="s">
        <v>852</v>
      </c>
      <c r="C154" s="2"/>
      <c r="D154" s="2"/>
      <c r="E154" s="2" t="s">
        <v>81</v>
      </c>
      <c r="F154" s="2"/>
      <c r="G154" s="92"/>
      <c r="H154" s="1"/>
      <c r="I154" s="1"/>
      <c r="J154" s="264">
        <f>J155+J156</f>
        <v>8090.28177</v>
      </c>
      <c r="K154" s="304">
        <f>K155+K156</f>
        <v>8090.28177</v>
      </c>
      <c r="L154" s="304">
        <f>L155+L156</f>
        <v>0</v>
      </c>
      <c r="M154" s="304">
        <f>M155+M156</f>
        <v>0</v>
      </c>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54"/>
    </row>
    <row r="155" spans="1:65" s="24" customFormat="1" ht="123" customHeight="1">
      <c r="A155" s="5"/>
      <c r="B155" s="11" t="s">
        <v>848</v>
      </c>
      <c r="C155" s="2" t="s">
        <v>369</v>
      </c>
      <c r="D155" s="2" t="s">
        <v>70</v>
      </c>
      <c r="E155" s="2" t="s">
        <v>849</v>
      </c>
      <c r="F155" s="2" t="s">
        <v>42</v>
      </c>
      <c r="G155" s="97" t="s">
        <v>914</v>
      </c>
      <c r="H155" s="1" t="s">
        <v>455</v>
      </c>
      <c r="I155" s="1" t="s">
        <v>730</v>
      </c>
      <c r="J155" s="309">
        <v>4608.5052</v>
      </c>
      <c r="K155" s="309">
        <v>4608.5052</v>
      </c>
      <c r="L155" s="309">
        <v>0</v>
      </c>
      <c r="M155" s="309">
        <v>0</v>
      </c>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54"/>
    </row>
    <row r="156" spans="1:65" s="24" customFormat="1" ht="127.5" customHeight="1">
      <c r="A156" s="5"/>
      <c r="B156" s="12" t="s">
        <v>321</v>
      </c>
      <c r="C156" s="2" t="s">
        <v>369</v>
      </c>
      <c r="D156" s="2" t="s">
        <v>70</v>
      </c>
      <c r="E156" s="133" t="s">
        <v>322</v>
      </c>
      <c r="F156" s="2" t="s">
        <v>42</v>
      </c>
      <c r="G156" s="97" t="s">
        <v>919</v>
      </c>
      <c r="H156" s="299" t="s">
        <v>454</v>
      </c>
      <c r="I156" s="1" t="s">
        <v>920</v>
      </c>
      <c r="J156" s="309">
        <v>3481.77657</v>
      </c>
      <c r="K156" s="309">
        <v>3481.77657</v>
      </c>
      <c r="L156" s="309">
        <v>0</v>
      </c>
      <c r="M156" s="309">
        <v>0</v>
      </c>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54"/>
    </row>
    <row r="157" spans="1:62" s="58" customFormat="1" ht="105" customHeight="1">
      <c r="A157" s="78" t="s">
        <v>145</v>
      </c>
      <c r="B157" s="79" t="s">
        <v>146</v>
      </c>
      <c r="C157" s="78"/>
      <c r="D157" s="78"/>
      <c r="E157" s="86"/>
      <c r="F157" s="86"/>
      <c r="G157" s="81"/>
      <c r="H157" s="78"/>
      <c r="I157" s="78"/>
      <c r="J157" s="208">
        <f>J158+J172</f>
        <v>14493.941</v>
      </c>
      <c r="K157" s="208">
        <f>K158+K172</f>
        <v>14493.931800000002</v>
      </c>
      <c r="L157" s="208">
        <f>L158+L172</f>
        <v>14026.880000000001</v>
      </c>
      <c r="M157" s="208">
        <f>M158+M172</f>
        <v>14026.880000000001</v>
      </c>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54"/>
      <c r="BJ157" s="24"/>
    </row>
    <row r="158" spans="1:62" s="69" customFormat="1" ht="30" customHeight="1">
      <c r="A158" s="2"/>
      <c r="B158" s="11" t="s">
        <v>251</v>
      </c>
      <c r="C158" s="57"/>
      <c r="D158" s="2"/>
      <c r="E158" s="2" t="s">
        <v>71</v>
      </c>
      <c r="F158" s="57"/>
      <c r="G158" s="27"/>
      <c r="H158" s="2"/>
      <c r="I158" s="2"/>
      <c r="J158" s="209">
        <f>J161+J169+J159</f>
        <v>13819.731000000002</v>
      </c>
      <c r="K158" s="209">
        <f>K161+K169+K159</f>
        <v>13819.731000000002</v>
      </c>
      <c r="L158" s="209">
        <f>L161+L169+L159</f>
        <v>13367.470000000001</v>
      </c>
      <c r="M158" s="209">
        <f>M161+M169+M159</f>
        <v>13367.470000000001</v>
      </c>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row>
    <row r="159" spans="1:62" s="69" customFormat="1" ht="30" customHeight="1">
      <c r="A159" s="2"/>
      <c r="B159" s="11" t="s">
        <v>278</v>
      </c>
      <c r="C159" s="57"/>
      <c r="D159" s="2"/>
      <c r="E159" s="2" t="s">
        <v>83</v>
      </c>
      <c r="F159" s="57"/>
      <c r="G159" s="27"/>
      <c r="H159" s="2"/>
      <c r="I159" s="2"/>
      <c r="J159" s="209">
        <f>J160</f>
        <v>25</v>
      </c>
      <c r="K159" s="209">
        <f>K160</f>
        <v>25</v>
      </c>
      <c r="L159" s="209">
        <f>L160</f>
        <v>0</v>
      </c>
      <c r="M159" s="209">
        <f>M160</f>
        <v>0</v>
      </c>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row>
    <row r="160" spans="1:62" s="69" customFormat="1" ht="88.5" customHeight="1">
      <c r="A160" s="2"/>
      <c r="B160" s="11" t="s">
        <v>980</v>
      </c>
      <c r="C160" s="1" t="s">
        <v>369</v>
      </c>
      <c r="D160" s="2" t="s">
        <v>11</v>
      </c>
      <c r="E160" s="2" t="s">
        <v>981</v>
      </c>
      <c r="F160" s="2" t="s">
        <v>42</v>
      </c>
      <c r="G160" s="27" t="s">
        <v>985</v>
      </c>
      <c r="H160" s="2" t="s">
        <v>281</v>
      </c>
      <c r="I160" s="2" t="s">
        <v>986</v>
      </c>
      <c r="J160" s="209">
        <v>25</v>
      </c>
      <c r="K160" s="209">
        <v>25</v>
      </c>
      <c r="L160" s="209">
        <v>0</v>
      </c>
      <c r="M160" s="209">
        <v>0</v>
      </c>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row>
    <row r="161" spans="1:13" ht="30" customHeight="1">
      <c r="A161" s="29"/>
      <c r="B161" s="11" t="s">
        <v>74</v>
      </c>
      <c r="C161" s="57"/>
      <c r="D161" s="2"/>
      <c r="E161" s="2" t="s">
        <v>82</v>
      </c>
      <c r="F161" s="57"/>
      <c r="G161" s="76"/>
      <c r="H161" s="76"/>
      <c r="I161" s="76"/>
      <c r="J161" s="209">
        <f>J163+J162+J165+J166+J167+J168+J164</f>
        <v>13727.470000000001</v>
      </c>
      <c r="K161" s="209">
        <f>K163+K162+K165+K166+K167+K168+K164</f>
        <v>13727.470000000001</v>
      </c>
      <c r="L161" s="209">
        <f>L163+L162+L165+L166+L167+L168+L164</f>
        <v>13367.470000000001</v>
      </c>
      <c r="M161" s="209">
        <f>M163+M162+M165+M166+M167+M168+M164</f>
        <v>13367.470000000001</v>
      </c>
    </row>
    <row r="162" spans="1:61" s="24" customFormat="1" ht="195" customHeight="1">
      <c r="A162" s="90"/>
      <c r="B162" s="110" t="s">
        <v>258</v>
      </c>
      <c r="C162" s="1" t="s">
        <v>369</v>
      </c>
      <c r="D162" s="1" t="s">
        <v>86</v>
      </c>
      <c r="E162" s="1" t="s">
        <v>257</v>
      </c>
      <c r="F162" s="1" t="s">
        <v>42</v>
      </c>
      <c r="G162" s="261" t="s">
        <v>767</v>
      </c>
      <c r="H162" s="263" t="s">
        <v>329</v>
      </c>
      <c r="I162" s="262" t="s">
        <v>742</v>
      </c>
      <c r="J162" s="311">
        <f>12411.2+336.27-1435.75413</f>
        <v>11311.715870000002</v>
      </c>
      <c r="K162" s="311">
        <f>12411.2+336.27-1435.75413</f>
        <v>11311.715870000002</v>
      </c>
      <c r="L162" s="311">
        <f>12411.2+336.27</f>
        <v>12747.470000000001</v>
      </c>
      <c r="M162" s="311">
        <f>12411.2+336.27</f>
        <v>12747.470000000001</v>
      </c>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54"/>
    </row>
    <row r="163" spans="1:61" s="24" customFormat="1" ht="48.75" customHeight="1">
      <c r="A163" s="114"/>
      <c r="B163" s="110" t="s">
        <v>876</v>
      </c>
      <c r="C163" s="2" t="s">
        <v>369</v>
      </c>
      <c r="D163" s="1" t="s">
        <v>86</v>
      </c>
      <c r="E163" s="1" t="s">
        <v>259</v>
      </c>
      <c r="F163" s="1" t="s">
        <v>42</v>
      </c>
      <c r="G163" s="329" t="s">
        <v>732</v>
      </c>
      <c r="H163" s="331" t="s">
        <v>326</v>
      </c>
      <c r="I163" s="331" t="s">
        <v>733</v>
      </c>
      <c r="J163" s="311">
        <v>90</v>
      </c>
      <c r="K163" s="311">
        <v>90</v>
      </c>
      <c r="L163" s="311">
        <v>90</v>
      </c>
      <c r="M163" s="311">
        <v>90</v>
      </c>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54"/>
    </row>
    <row r="164" spans="1:61" s="24" customFormat="1" ht="58.5" customHeight="1">
      <c r="A164" s="114"/>
      <c r="B164" s="12" t="s">
        <v>847</v>
      </c>
      <c r="C164" s="2" t="s">
        <v>369</v>
      </c>
      <c r="D164" s="1" t="s">
        <v>86</v>
      </c>
      <c r="E164" s="1" t="s">
        <v>846</v>
      </c>
      <c r="F164" s="1" t="s">
        <v>42</v>
      </c>
      <c r="G164" s="338"/>
      <c r="H164" s="337"/>
      <c r="I164" s="337"/>
      <c r="J164" s="311">
        <v>1435.75413</v>
      </c>
      <c r="K164" s="311">
        <v>1435.75413</v>
      </c>
      <c r="L164" s="311">
        <v>0</v>
      </c>
      <c r="M164" s="311">
        <v>0</v>
      </c>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54"/>
    </row>
    <row r="165" spans="1:61" s="24" customFormat="1" ht="19.5" customHeight="1">
      <c r="A165" s="2"/>
      <c r="B165" s="7" t="s">
        <v>75</v>
      </c>
      <c r="C165" s="2" t="s">
        <v>369</v>
      </c>
      <c r="D165" s="2" t="s">
        <v>86</v>
      </c>
      <c r="E165" s="10" t="s">
        <v>260</v>
      </c>
      <c r="F165" s="2" t="s">
        <v>42</v>
      </c>
      <c r="G165" s="329" t="s">
        <v>731</v>
      </c>
      <c r="H165" s="316" t="s">
        <v>544</v>
      </c>
      <c r="I165" s="316" t="s">
        <v>733</v>
      </c>
      <c r="J165" s="309">
        <v>210</v>
      </c>
      <c r="K165" s="309">
        <v>210</v>
      </c>
      <c r="L165" s="309">
        <v>210</v>
      </c>
      <c r="M165" s="309">
        <v>210</v>
      </c>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54"/>
    </row>
    <row r="166" spans="1:61" s="24" customFormat="1" ht="19.5" customHeight="1">
      <c r="A166" s="2"/>
      <c r="B166" s="7" t="s">
        <v>264</v>
      </c>
      <c r="C166" s="2" t="s">
        <v>369</v>
      </c>
      <c r="D166" s="2" t="s">
        <v>86</v>
      </c>
      <c r="E166" s="10" t="s">
        <v>261</v>
      </c>
      <c r="F166" s="2" t="s">
        <v>42</v>
      </c>
      <c r="G166" s="332"/>
      <c r="H166" s="319"/>
      <c r="I166" s="319"/>
      <c r="J166" s="309">
        <v>60</v>
      </c>
      <c r="K166" s="309">
        <v>60</v>
      </c>
      <c r="L166" s="309">
        <v>60</v>
      </c>
      <c r="M166" s="309">
        <v>60</v>
      </c>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54"/>
    </row>
    <row r="167" spans="1:61" s="24" customFormat="1" ht="42.75" customHeight="1">
      <c r="A167" s="2"/>
      <c r="B167" s="7" t="s">
        <v>265</v>
      </c>
      <c r="C167" s="2" t="s">
        <v>369</v>
      </c>
      <c r="D167" s="2" t="s">
        <v>86</v>
      </c>
      <c r="E167" s="10" t="s">
        <v>262</v>
      </c>
      <c r="F167" s="2" t="s">
        <v>42</v>
      </c>
      <c r="G167" s="332"/>
      <c r="H167" s="319"/>
      <c r="I167" s="319"/>
      <c r="J167" s="309">
        <f>340+260</f>
        <v>600</v>
      </c>
      <c r="K167" s="309">
        <f>340+260</f>
        <v>600</v>
      </c>
      <c r="L167" s="309">
        <v>240</v>
      </c>
      <c r="M167" s="309">
        <v>240</v>
      </c>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54"/>
    </row>
    <row r="168" spans="1:61" s="24" customFormat="1" ht="33" customHeight="1">
      <c r="A168" s="2"/>
      <c r="B168" s="95" t="s">
        <v>266</v>
      </c>
      <c r="C168" s="2" t="s">
        <v>369</v>
      </c>
      <c r="D168" s="2" t="s">
        <v>86</v>
      </c>
      <c r="E168" s="10" t="s">
        <v>263</v>
      </c>
      <c r="F168" s="2" t="s">
        <v>42</v>
      </c>
      <c r="G168" s="338"/>
      <c r="H168" s="320"/>
      <c r="I168" s="320"/>
      <c r="J168" s="309">
        <v>20</v>
      </c>
      <c r="K168" s="309">
        <v>20</v>
      </c>
      <c r="L168" s="309">
        <v>20</v>
      </c>
      <c r="M168" s="309">
        <v>20</v>
      </c>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54"/>
    </row>
    <row r="169" spans="1:61" s="24" customFormat="1" ht="45">
      <c r="A169" s="2"/>
      <c r="B169" s="95" t="s">
        <v>255</v>
      </c>
      <c r="C169" s="2"/>
      <c r="D169" s="2"/>
      <c r="E169" s="10" t="s">
        <v>81</v>
      </c>
      <c r="F169" s="2"/>
      <c r="G169" s="129"/>
      <c r="H169" s="105"/>
      <c r="I169" s="105"/>
      <c r="J169" s="249">
        <f aca="true" t="shared" si="8" ref="J169:M170">J170</f>
        <v>67.261</v>
      </c>
      <c r="K169" s="251">
        <f t="shared" si="8"/>
        <v>67.261</v>
      </c>
      <c r="L169" s="249">
        <f t="shared" si="8"/>
        <v>0</v>
      </c>
      <c r="M169" s="249">
        <f t="shared" si="8"/>
        <v>0</v>
      </c>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54"/>
    </row>
    <row r="170" spans="1:61" s="24" customFormat="1" ht="75">
      <c r="A170" s="2"/>
      <c r="B170" s="12" t="s">
        <v>814</v>
      </c>
      <c r="C170" s="2"/>
      <c r="D170" s="2"/>
      <c r="E170" s="10" t="s">
        <v>815</v>
      </c>
      <c r="F170" s="2"/>
      <c r="G170" s="129"/>
      <c r="H170" s="105"/>
      <c r="I170" s="105"/>
      <c r="J170" s="249">
        <f t="shared" si="8"/>
        <v>67.261</v>
      </c>
      <c r="K170" s="251">
        <f t="shared" si="8"/>
        <v>67.261</v>
      </c>
      <c r="L170" s="249">
        <f t="shared" si="8"/>
        <v>0</v>
      </c>
      <c r="M170" s="249">
        <f t="shared" si="8"/>
        <v>0</v>
      </c>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54"/>
    </row>
    <row r="171" spans="1:61" s="24" customFormat="1" ht="120" customHeight="1">
      <c r="A171" s="2"/>
      <c r="B171" s="95" t="s">
        <v>76</v>
      </c>
      <c r="C171" s="2" t="s">
        <v>369</v>
      </c>
      <c r="D171" s="2" t="s">
        <v>86</v>
      </c>
      <c r="E171" s="10" t="s">
        <v>256</v>
      </c>
      <c r="F171" s="2" t="s">
        <v>42</v>
      </c>
      <c r="G171" s="97" t="s">
        <v>914</v>
      </c>
      <c r="H171" s="1" t="s">
        <v>455</v>
      </c>
      <c r="I171" s="1" t="s">
        <v>730</v>
      </c>
      <c r="J171" s="309">
        <v>67.261</v>
      </c>
      <c r="K171" s="309">
        <v>67.261</v>
      </c>
      <c r="L171" s="309">
        <v>0</v>
      </c>
      <c r="M171" s="309">
        <v>0</v>
      </c>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54"/>
    </row>
    <row r="172" spans="1:61" s="24" customFormat="1" ht="43.5" customHeight="1">
      <c r="A172" s="2"/>
      <c r="B172" s="7" t="s">
        <v>220</v>
      </c>
      <c r="C172" s="2"/>
      <c r="D172" s="2"/>
      <c r="E172" s="139" t="s">
        <v>53</v>
      </c>
      <c r="F172" s="2"/>
      <c r="G172" s="3"/>
      <c r="H172" s="4"/>
      <c r="I172" s="4"/>
      <c r="J172" s="210">
        <f aca="true" t="shared" si="9" ref="J172:M173">J173</f>
        <v>674.2099999999999</v>
      </c>
      <c r="K172" s="209">
        <f t="shared" si="9"/>
        <v>674.2008</v>
      </c>
      <c r="L172" s="210">
        <f t="shared" si="9"/>
        <v>659.41</v>
      </c>
      <c r="M172" s="210">
        <f t="shared" si="9"/>
        <v>659.41</v>
      </c>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54"/>
    </row>
    <row r="173" spans="1:61" s="24" customFormat="1" ht="36" customHeight="1">
      <c r="A173" s="2"/>
      <c r="B173" s="12" t="s">
        <v>365</v>
      </c>
      <c r="C173" s="2"/>
      <c r="D173" s="2"/>
      <c r="E173" s="139" t="s">
        <v>54</v>
      </c>
      <c r="F173" s="2"/>
      <c r="G173" s="3"/>
      <c r="H173" s="4"/>
      <c r="I173" s="4"/>
      <c r="J173" s="210">
        <f t="shared" si="9"/>
        <v>674.2099999999999</v>
      </c>
      <c r="K173" s="209">
        <f t="shared" si="9"/>
        <v>674.2008</v>
      </c>
      <c r="L173" s="210">
        <f t="shared" si="9"/>
        <v>659.41</v>
      </c>
      <c r="M173" s="210">
        <f t="shared" si="9"/>
        <v>659.41</v>
      </c>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54"/>
    </row>
    <row r="174" spans="1:61" s="24" customFormat="1" ht="114" customHeight="1">
      <c r="A174" s="2"/>
      <c r="B174" s="12" t="s">
        <v>880</v>
      </c>
      <c r="C174" s="2" t="s">
        <v>369</v>
      </c>
      <c r="D174" s="2" t="s">
        <v>86</v>
      </c>
      <c r="E174" s="139" t="s">
        <v>378</v>
      </c>
      <c r="F174" s="2" t="s">
        <v>254</v>
      </c>
      <c r="G174" s="3" t="s">
        <v>766</v>
      </c>
      <c r="H174" s="4" t="s">
        <v>472</v>
      </c>
      <c r="I174" s="4" t="s">
        <v>594</v>
      </c>
      <c r="J174" s="236">
        <f>659.41+14.8</f>
        <v>674.2099999999999</v>
      </c>
      <c r="K174" s="236">
        <v>674.2008</v>
      </c>
      <c r="L174" s="236">
        <v>659.41</v>
      </c>
      <c r="M174" s="236">
        <v>659.41</v>
      </c>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54"/>
    </row>
    <row r="175" spans="1:62" s="58" customFormat="1" ht="63.75" customHeight="1">
      <c r="A175" s="78" t="s">
        <v>147</v>
      </c>
      <c r="B175" s="79" t="s">
        <v>148</v>
      </c>
      <c r="C175" s="78"/>
      <c r="D175" s="78"/>
      <c r="E175" s="86"/>
      <c r="F175" s="86"/>
      <c r="G175" s="81"/>
      <c r="H175" s="78"/>
      <c r="I175" s="78"/>
      <c r="J175" s="208">
        <f aca="true" t="shared" si="10" ref="J175:M176">J176</f>
        <v>1206.2502000000002</v>
      </c>
      <c r="K175" s="208">
        <f t="shared" si="10"/>
        <v>1206.2502000000002</v>
      </c>
      <c r="L175" s="208">
        <f t="shared" si="10"/>
        <v>0</v>
      </c>
      <c r="M175" s="208">
        <f t="shared" si="10"/>
        <v>0</v>
      </c>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54"/>
      <c r="BJ175" s="24"/>
    </row>
    <row r="176" spans="1:62" s="58" customFormat="1" ht="30" customHeight="1">
      <c r="A176" s="2"/>
      <c r="B176" s="11" t="s">
        <v>251</v>
      </c>
      <c r="C176" s="57"/>
      <c r="D176" s="2"/>
      <c r="E176" s="2" t="s">
        <v>71</v>
      </c>
      <c r="F176" s="57"/>
      <c r="G176" s="27"/>
      <c r="H176" s="2"/>
      <c r="I176" s="2"/>
      <c r="J176" s="209">
        <f t="shared" si="10"/>
        <v>1206.2502000000002</v>
      </c>
      <c r="K176" s="209">
        <f t="shared" si="10"/>
        <v>1206.2502000000002</v>
      </c>
      <c r="L176" s="209">
        <f t="shared" si="10"/>
        <v>0</v>
      </c>
      <c r="M176" s="209">
        <f t="shared" si="10"/>
        <v>0</v>
      </c>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54"/>
      <c r="BJ176" s="24"/>
    </row>
    <row r="177" spans="1:62" s="58" customFormat="1" ht="30" customHeight="1">
      <c r="A177" s="2"/>
      <c r="B177" s="6" t="s">
        <v>252</v>
      </c>
      <c r="C177" s="57"/>
      <c r="D177" s="2"/>
      <c r="E177" s="2" t="s">
        <v>83</v>
      </c>
      <c r="F177" s="57"/>
      <c r="G177" s="27"/>
      <c r="H177" s="2"/>
      <c r="I177" s="2"/>
      <c r="J177" s="209">
        <f>J178+J181</f>
        <v>1206.2502000000002</v>
      </c>
      <c r="K177" s="209">
        <f>K178+K181</f>
        <v>1206.2502000000002</v>
      </c>
      <c r="L177" s="209">
        <f>L178+L181</f>
        <v>0</v>
      </c>
      <c r="M177" s="209">
        <f>M178+M181</f>
        <v>0</v>
      </c>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54"/>
      <c r="BJ177" s="24"/>
    </row>
    <row r="178" spans="1:61" s="24" customFormat="1" ht="143.25" customHeight="1">
      <c r="A178" s="316"/>
      <c r="B178" s="321" t="s">
        <v>79</v>
      </c>
      <c r="C178" s="317" t="s">
        <v>369</v>
      </c>
      <c r="D178" s="316" t="s">
        <v>43</v>
      </c>
      <c r="E178" s="316" t="s">
        <v>267</v>
      </c>
      <c r="F178" s="316" t="s">
        <v>42</v>
      </c>
      <c r="G178" s="183" t="s">
        <v>751</v>
      </c>
      <c r="H178" s="141" t="s">
        <v>752</v>
      </c>
      <c r="I178" s="184" t="s">
        <v>753</v>
      </c>
      <c r="J178" s="368">
        <f>2000-37.35-15.363-309.82-98.9298-14.865-364.52</f>
        <v>1159.1522000000002</v>
      </c>
      <c r="K178" s="368">
        <f>2000-37.35-15.363-309.82-98.9298-14.865-364.52</f>
        <v>1159.1522000000002</v>
      </c>
      <c r="L178" s="368">
        <v>0</v>
      </c>
      <c r="M178" s="368">
        <v>0</v>
      </c>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54"/>
    </row>
    <row r="179" spans="1:13" s="26" customFormat="1" ht="74.25" customHeight="1">
      <c r="A179" s="319"/>
      <c r="B179" s="375"/>
      <c r="C179" s="347"/>
      <c r="D179" s="319"/>
      <c r="E179" s="319"/>
      <c r="F179" s="319"/>
      <c r="G179" s="135" t="s">
        <v>860</v>
      </c>
      <c r="H179" s="4" t="s">
        <v>861</v>
      </c>
      <c r="I179" s="270" t="s">
        <v>862</v>
      </c>
      <c r="J179" s="369"/>
      <c r="K179" s="369"/>
      <c r="L179" s="369"/>
      <c r="M179" s="369"/>
    </row>
    <row r="180" spans="1:13" s="26" customFormat="1" ht="41.25" customHeight="1">
      <c r="A180" s="319"/>
      <c r="B180" s="375"/>
      <c r="C180" s="318"/>
      <c r="D180" s="320"/>
      <c r="E180" s="320"/>
      <c r="F180" s="320"/>
      <c r="G180" s="348" t="s">
        <v>716</v>
      </c>
      <c r="H180" s="317" t="s">
        <v>561</v>
      </c>
      <c r="I180" s="331" t="s">
        <v>715</v>
      </c>
      <c r="J180" s="370"/>
      <c r="K180" s="370"/>
      <c r="L180" s="370"/>
      <c r="M180" s="370"/>
    </row>
    <row r="181" spans="1:13" s="26" customFormat="1" ht="24.75" customHeight="1">
      <c r="A181" s="320"/>
      <c r="B181" s="322"/>
      <c r="C181" s="100" t="s">
        <v>369</v>
      </c>
      <c r="D181" s="105" t="s">
        <v>43</v>
      </c>
      <c r="E181" s="105" t="s">
        <v>267</v>
      </c>
      <c r="F181" s="105" t="s">
        <v>254</v>
      </c>
      <c r="G181" s="349"/>
      <c r="H181" s="318"/>
      <c r="I181" s="337"/>
      <c r="J181" s="211">
        <f>37.35+15.363+14.865-20.48</f>
        <v>47.098</v>
      </c>
      <c r="K181" s="211">
        <f>37.35+15.363+14.865-20.48</f>
        <v>47.098</v>
      </c>
      <c r="L181" s="211">
        <v>0</v>
      </c>
      <c r="M181" s="211">
        <v>0</v>
      </c>
    </row>
    <row r="182" spans="1:62" s="58" customFormat="1" ht="105" customHeight="1">
      <c r="A182" s="78" t="s">
        <v>149</v>
      </c>
      <c r="B182" s="79" t="s">
        <v>150</v>
      </c>
      <c r="C182" s="78"/>
      <c r="D182" s="78"/>
      <c r="E182" s="86"/>
      <c r="F182" s="86"/>
      <c r="G182" s="81"/>
      <c r="H182" s="78"/>
      <c r="I182" s="78"/>
      <c r="J182" s="208">
        <f>J183</f>
        <v>6740.872000000001</v>
      </c>
      <c r="K182" s="208">
        <f>K183</f>
        <v>6740.872000000001</v>
      </c>
      <c r="L182" s="208">
        <f>L183</f>
        <v>6467.776000000001</v>
      </c>
      <c r="M182" s="208">
        <f>M183</f>
        <v>6467.776000000001</v>
      </c>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54"/>
      <c r="BJ182" s="24"/>
    </row>
    <row r="183" spans="2:65" s="21" customFormat="1" ht="30" customHeight="1">
      <c r="B183" s="12" t="s">
        <v>277</v>
      </c>
      <c r="C183" s="2"/>
      <c r="D183" s="2"/>
      <c r="E183" s="2" t="s">
        <v>71</v>
      </c>
      <c r="J183" s="209">
        <f>J184+J188</f>
        <v>6740.872000000001</v>
      </c>
      <c r="K183" s="209">
        <f>K184+K188</f>
        <v>6740.872000000001</v>
      </c>
      <c r="L183" s="209">
        <f>L184+L188</f>
        <v>6467.776000000001</v>
      </c>
      <c r="M183" s="209">
        <f>M184+M188</f>
        <v>6467.776000000001</v>
      </c>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9"/>
    </row>
    <row r="184" spans="2:65" s="21" customFormat="1" ht="30" customHeight="1">
      <c r="B184" s="12" t="s">
        <v>278</v>
      </c>
      <c r="C184" s="2"/>
      <c r="D184" s="2"/>
      <c r="E184" s="2" t="s">
        <v>83</v>
      </c>
      <c r="J184" s="209">
        <f>J186+J185+J187</f>
        <v>6736.376000000001</v>
      </c>
      <c r="K184" s="209">
        <f>K186+K185+K187</f>
        <v>6736.376000000001</v>
      </c>
      <c r="L184" s="209">
        <f>L186+L185+L187</f>
        <v>6467.776000000001</v>
      </c>
      <c r="M184" s="209">
        <f>M186+M185+M187</f>
        <v>6467.776000000001</v>
      </c>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9"/>
    </row>
    <row r="185" spans="1:64" ht="55.5" customHeight="1">
      <c r="A185" s="100"/>
      <c r="B185" s="110" t="s">
        <v>875</v>
      </c>
      <c r="C185" s="2" t="s">
        <v>369</v>
      </c>
      <c r="D185" s="2" t="s">
        <v>12</v>
      </c>
      <c r="E185" s="1" t="s">
        <v>286</v>
      </c>
      <c r="F185" s="2" t="s">
        <v>42</v>
      </c>
      <c r="G185" s="92" t="s">
        <v>761</v>
      </c>
      <c r="H185" s="90" t="s">
        <v>280</v>
      </c>
      <c r="I185" s="90" t="s">
        <v>592</v>
      </c>
      <c r="J185" s="309">
        <f>700+50+200</f>
        <v>950</v>
      </c>
      <c r="K185" s="309">
        <f>700+50+200</f>
        <v>950</v>
      </c>
      <c r="L185" s="309">
        <v>700</v>
      </c>
      <c r="M185" s="309">
        <v>700</v>
      </c>
      <c r="BI185" s="26"/>
      <c r="BJ185" s="26"/>
      <c r="BK185" s="26"/>
      <c r="BL185" s="26"/>
    </row>
    <row r="186" spans="1:13" s="28" customFormat="1" ht="181.5" customHeight="1">
      <c r="A186" s="2"/>
      <c r="B186" s="11" t="s">
        <v>352</v>
      </c>
      <c r="C186" s="2" t="s">
        <v>369</v>
      </c>
      <c r="D186" s="2" t="s">
        <v>12</v>
      </c>
      <c r="E186" s="2" t="s">
        <v>314</v>
      </c>
      <c r="F186" s="2" t="s">
        <v>42</v>
      </c>
      <c r="G186" s="27" t="s">
        <v>595</v>
      </c>
      <c r="H186" s="106" t="s">
        <v>545</v>
      </c>
      <c r="I186" s="5" t="s">
        <v>596</v>
      </c>
      <c r="J186" s="309">
        <f>5612.756+155.02</f>
        <v>5767.776000000001</v>
      </c>
      <c r="K186" s="309">
        <f>5612.756+155.02</f>
        <v>5767.776000000001</v>
      </c>
      <c r="L186" s="309">
        <f>5612.756+155.02</f>
        <v>5767.776000000001</v>
      </c>
      <c r="M186" s="309">
        <f>5612.756+155.02</f>
        <v>5767.776000000001</v>
      </c>
    </row>
    <row r="187" spans="1:65" s="24" customFormat="1" ht="111" customHeight="1">
      <c r="A187" s="4"/>
      <c r="B187" s="11" t="s">
        <v>96</v>
      </c>
      <c r="C187" s="2" t="s">
        <v>369</v>
      </c>
      <c r="D187" s="2" t="s">
        <v>12</v>
      </c>
      <c r="E187" s="2" t="s">
        <v>312</v>
      </c>
      <c r="F187" s="2" t="s">
        <v>42</v>
      </c>
      <c r="G187" s="3" t="s">
        <v>758</v>
      </c>
      <c r="H187" s="1" t="s">
        <v>280</v>
      </c>
      <c r="I187" s="105" t="s">
        <v>734</v>
      </c>
      <c r="J187" s="309">
        <v>18.6</v>
      </c>
      <c r="K187" s="309">
        <v>18.6</v>
      </c>
      <c r="L187" s="309">
        <v>0</v>
      </c>
      <c r="M187" s="309">
        <v>0</v>
      </c>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54"/>
    </row>
    <row r="188" spans="1:13" s="26" customFormat="1" ht="45">
      <c r="A188" s="4"/>
      <c r="B188" s="11" t="s">
        <v>255</v>
      </c>
      <c r="C188" s="2"/>
      <c r="D188" s="2"/>
      <c r="E188" s="2" t="s">
        <v>81</v>
      </c>
      <c r="F188" s="2"/>
      <c r="G188" s="3"/>
      <c r="H188" s="1"/>
      <c r="I188" s="105"/>
      <c r="J188" s="249">
        <f aca="true" t="shared" si="11" ref="J188:M189">J189</f>
        <v>4.496</v>
      </c>
      <c r="K188" s="251">
        <f t="shared" si="11"/>
        <v>4.496</v>
      </c>
      <c r="L188" s="249">
        <f t="shared" si="11"/>
        <v>0</v>
      </c>
      <c r="M188" s="249">
        <f t="shared" si="11"/>
        <v>0</v>
      </c>
    </row>
    <row r="189" spans="1:13" s="26" customFormat="1" ht="75">
      <c r="A189" s="4"/>
      <c r="B189" s="12" t="s">
        <v>814</v>
      </c>
      <c r="C189" s="2"/>
      <c r="D189" s="2"/>
      <c r="E189" s="2" t="s">
        <v>815</v>
      </c>
      <c r="F189" s="2"/>
      <c r="G189" s="3"/>
      <c r="H189" s="1"/>
      <c r="I189" s="105"/>
      <c r="J189" s="249">
        <f t="shared" si="11"/>
        <v>4.496</v>
      </c>
      <c r="K189" s="251">
        <f t="shared" si="11"/>
        <v>4.496</v>
      </c>
      <c r="L189" s="249">
        <f t="shared" si="11"/>
        <v>0</v>
      </c>
      <c r="M189" s="249">
        <f t="shared" si="11"/>
        <v>0</v>
      </c>
    </row>
    <row r="190" spans="1:13" s="26" customFormat="1" ht="117.75" customHeight="1">
      <c r="A190" s="4"/>
      <c r="B190" s="11" t="s">
        <v>76</v>
      </c>
      <c r="C190" s="2" t="s">
        <v>369</v>
      </c>
      <c r="D190" s="2" t="s">
        <v>12</v>
      </c>
      <c r="E190" s="2" t="s">
        <v>256</v>
      </c>
      <c r="F190" s="2" t="s">
        <v>42</v>
      </c>
      <c r="G190" s="97" t="s">
        <v>914</v>
      </c>
      <c r="H190" s="1" t="s">
        <v>455</v>
      </c>
      <c r="I190" s="1" t="s">
        <v>730</v>
      </c>
      <c r="J190" s="309">
        <v>4.496</v>
      </c>
      <c r="K190" s="309">
        <v>4.496</v>
      </c>
      <c r="L190" s="309">
        <v>0</v>
      </c>
      <c r="M190" s="309">
        <v>0</v>
      </c>
    </row>
    <row r="191" spans="1:13" s="26" customFormat="1" ht="207" customHeight="1">
      <c r="A191" s="78" t="s">
        <v>963</v>
      </c>
      <c r="B191" s="87" t="s">
        <v>964</v>
      </c>
      <c r="C191" s="78"/>
      <c r="D191" s="78"/>
      <c r="E191" s="78"/>
      <c r="F191" s="78"/>
      <c r="G191" s="78"/>
      <c r="H191" s="78"/>
      <c r="I191" s="78"/>
      <c r="J191" s="208">
        <f aca="true" t="shared" si="12" ref="J191:M192">J192</f>
        <v>1000</v>
      </c>
      <c r="K191" s="208">
        <f t="shared" si="12"/>
        <v>1000</v>
      </c>
      <c r="L191" s="208">
        <f t="shared" si="12"/>
        <v>0</v>
      </c>
      <c r="M191" s="208">
        <f t="shared" si="12"/>
        <v>0</v>
      </c>
    </row>
    <row r="192" spans="1:13" s="26" customFormat="1" ht="46.5" customHeight="1">
      <c r="A192" s="2"/>
      <c r="B192" s="57" t="s">
        <v>830</v>
      </c>
      <c r="C192" s="2"/>
      <c r="D192" s="2"/>
      <c r="E192" s="2" t="s">
        <v>65</v>
      </c>
      <c r="F192" s="2"/>
      <c r="G192" s="2"/>
      <c r="H192" s="2"/>
      <c r="I192" s="2"/>
      <c r="J192" s="209">
        <f t="shared" si="12"/>
        <v>1000</v>
      </c>
      <c r="K192" s="209">
        <f t="shared" si="12"/>
        <v>1000</v>
      </c>
      <c r="L192" s="209">
        <f t="shared" si="12"/>
        <v>0</v>
      </c>
      <c r="M192" s="209">
        <f t="shared" si="12"/>
        <v>0</v>
      </c>
    </row>
    <row r="193" spans="1:13" s="26" customFormat="1" ht="90.75" customHeight="1">
      <c r="A193" s="2"/>
      <c r="B193" s="57" t="s">
        <v>965</v>
      </c>
      <c r="C193" s="2" t="s">
        <v>4</v>
      </c>
      <c r="D193" s="2" t="s">
        <v>966</v>
      </c>
      <c r="E193" s="10" t="s">
        <v>967</v>
      </c>
      <c r="F193" s="2" t="s">
        <v>38</v>
      </c>
      <c r="G193" s="27" t="s">
        <v>982</v>
      </c>
      <c r="H193" s="2" t="s">
        <v>928</v>
      </c>
      <c r="I193" s="2" t="s">
        <v>968</v>
      </c>
      <c r="J193" s="209">
        <v>1000</v>
      </c>
      <c r="K193" s="209">
        <v>1000</v>
      </c>
      <c r="L193" s="209">
        <v>0</v>
      </c>
      <c r="M193" s="209">
        <v>0</v>
      </c>
    </row>
    <row r="194" spans="1:60" s="59" customFormat="1" ht="45" customHeight="1">
      <c r="A194" s="78" t="s">
        <v>152</v>
      </c>
      <c r="B194" s="79" t="s">
        <v>151</v>
      </c>
      <c r="C194" s="86"/>
      <c r="D194" s="78"/>
      <c r="E194" s="86"/>
      <c r="F194" s="86"/>
      <c r="G194" s="81"/>
      <c r="H194" s="78"/>
      <c r="I194" s="78"/>
      <c r="J194" s="208">
        <f>J195</f>
        <v>13668.46</v>
      </c>
      <c r="K194" s="208">
        <f>K195</f>
        <v>13668.46</v>
      </c>
      <c r="L194" s="208">
        <f>L195</f>
        <v>13668.46</v>
      </c>
      <c r="M194" s="208">
        <f>M195</f>
        <v>13668.46</v>
      </c>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69"/>
      <c r="AX194" s="69"/>
      <c r="AY194" s="69"/>
      <c r="AZ194" s="69"/>
      <c r="BA194" s="69"/>
      <c r="BB194" s="69"/>
      <c r="BC194" s="69"/>
      <c r="BD194" s="69"/>
      <c r="BE194" s="69"/>
      <c r="BF194" s="69"/>
      <c r="BG194" s="69"/>
      <c r="BH194" s="69"/>
    </row>
    <row r="195" spans="2:61" s="61" customFormat="1" ht="30" customHeight="1">
      <c r="B195" s="62" t="s">
        <v>243</v>
      </c>
      <c r="C195" s="12"/>
      <c r="D195" s="2"/>
      <c r="E195" s="106" t="s">
        <v>52</v>
      </c>
      <c r="F195" s="12"/>
      <c r="J195" s="209">
        <f>J197+J196+J198</f>
        <v>13668.46</v>
      </c>
      <c r="K195" s="209">
        <f>K197+K196+K198</f>
        <v>13668.46</v>
      </c>
      <c r="L195" s="209">
        <f>L197+L196+L198</f>
        <v>13668.46</v>
      </c>
      <c r="M195" s="209">
        <f>M197+M196+M198</f>
        <v>13668.46</v>
      </c>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64"/>
    </row>
    <row r="196" spans="1:61" s="61" customFormat="1" ht="192" customHeight="1">
      <c r="A196" s="112"/>
      <c r="B196" s="57" t="s">
        <v>244</v>
      </c>
      <c r="C196" s="2" t="s">
        <v>369</v>
      </c>
      <c r="D196" s="2" t="s">
        <v>78</v>
      </c>
      <c r="E196" s="75" t="s">
        <v>509</v>
      </c>
      <c r="F196" s="2" t="s">
        <v>42</v>
      </c>
      <c r="G196" s="92" t="s">
        <v>598</v>
      </c>
      <c r="H196" s="152" t="s">
        <v>546</v>
      </c>
      <c r="I196" s="106" t="s">
        <v>597</v>
      </c>
      <c r="J196" s="309">
        <f>12869.13+336.83</f>
        <v>13205.96</v>
      </c>
      <c r="K196" s="309">
        <f>12869.13+336.83</f>
        <v>13205.96</v>
      </c>
      <c r="L196" s="309">
        <f>12869.13+336.83</f>
        <v>13205.96</v>
      </c>
      <c r="M196" s="309">
        <f>12869.13+336.83</f>
        <v>13205.96</v>
      </c>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64"/>
    </row>
    <row r="197" spans="2:61" s="61" customFormat="1" ht="36.75" customHeight="1">
      <c r="B197" s="12" t="s">
        <v>77</v>
      </c>
      <c r="C197" s="2" t="s">
        <v>369</v>
      </c>
      <c r="D197" s="75" t="s">
        <v>78</v>
      </c>
      <c r="E197" s="75" t="s">
        <v>358</v>
      </c>
      <c r="F197" s="77">
        <v>610</v>
      </c>
      <c r="G197" s="329" t="s">
        <v>599</v>
      </c>
      <c r="H197" s="356" t="s">
        <v>290</v>
      </c>
      <c r="I197" s="352" t="s">
        <v>592</v>
      </c>
      <c r="J197" s="237">
        <v>300</v>
      </c>
      <c r="K197" s="237">
        <v>300</v>
      </c>
      <c r="L197" s="237">
        <v>300</v>
      </c>
      <c r="M197" s="237">
        <v>300</v>
      </c>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64"/>
    </row>
    <row r="198" spans="1:61" s="61" customFormat="1" ht="33.75" customHeight="1">
      <c r="A198" s="111"/>
      <c r="B198" s="109" t="s">
        <v>245</v>
      </c>
      <c r="C198" s="2" t="s">
        <v>369</v>
      </c>
      <c r="D198" s="2" t="s">
        <v>78</v>
      </c>
      <c r="E198" s="75" t="s">
        <v>510</v>
      </c>
      <c r="F198" s="2" t="s">
        <v>42</v>
      </c>
      <c r="G198" s="332"/>
      <c r="H198" s="357"/>
      <c r="I198" s="353"/>
      <c r="J198" s="310">
        <v>162.5</v>
      </c>
      <c r="K198" s="310">
        <v>162.5</v>
      </c>
      <c r="L198" s="310">
        <v>162.5</v>
      </c>
      <c r="M198" s="310">
        <v>162.5</v>
      </c>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64"/>
    </row>
    <row r="199" spans="1:60" s="59" customFormat="1" ht="45" customHeight="1">
      <c r="A199" s="78" t="s">
        <v>154</v>
      </c>
      <c r="B199" s="79" t="s">
        <v>153</v>
      </c>
      <c r="C199" s="86"/>
      <c r="D199" s="78"/>
      <c r="E199" s="86"/>
      <c r="F199" s="86"/>
      <c r="G199" s="81"/>
      <c r="H199" s="78"/>
      <c r="I199" s="78"/>
      <c r="J199" s="208">
        <f>J200+J213</f>
        <v>70604.18774000001</v>
      </c>
      <c r="K199" s="208">
        <f>K200+K213</f>
        <v>70604.18766000001</v>
      </c>
      <c r="L199" s="208">
        <f>L200+L213</f>
        <v>59575.020000000004</v>
      </c>
      <c r="M199" s="208">
        <f>M200+M213</f>
        <v>59710.59</v>
      </c>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row>
    <row r="200" spans="1:61" s="60" customFormat="1" ht="30" customHeight="1">
      <c r="A200" s="106"/>
      <c r="B200" s="46" t="s">
        <v>243</v>
      </c>
      <c r="C200" s="57"/>
      <c r="D200" s="2"/>
      <c r="E200" s="2" t="s">
        <v>52</v>
      </c>
      <c r="F200" s="57"/>
      <c r="G200" s="45"/>
      <c r="H200" s="106"/>
      <c r="I200" s="106"/>
      <c r="J200" s="209">
        <f>J208+J201</f>
        <v>70551.55616000001</v>
      </c>
      <c r="K200" s="209">
        <f>K208+K201</f>
        <v>70551.55608000001</v>
      </c>
      <c r="L200" s="209">
        <f>L208+L201</f>
        <v>59575.020000000004</v>
      </c>
      <c r="M200" s="209">
        <f>M208+M201</f>
        <v>59710.59</v>
      </c>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5"/>
    </row>
    <row r="201" spans="1:61" s="24" customFormat="1" ht="30" customHeight="1">
      <c r="A201" s="2"/>
      <c r="B201" s="113" t="s">
        <v>246</v>
      </c>
      <c r="C201" s="90"/>
      <c r="D201" s="1"/>
      <c r="E201" s="2" t="s">
        <v>353</v>
      </c>
      <c r="F201" s="90"/>
      <c r="G201" s="47"/>
      <c r="H201" s="2"/>
      <c r="I201" s="2"/>
      <c r="J201" s="216">
        <f>J202+J204+J206+J207</f>
        <v>17148.950080000002</v>
      </c>
      <c r="K201" s="216">
        <f>K202+K204+K206+K207</f>
        <v>17148.95</v>
      </c>
      <c r="L201" s="216">
        <f>L202+L204+L206+L207</f>
        <v>17148.95</v>
      </c>
      <c r="M201" s="216">
        <f>M202+M204+M206+M207</f>
        <v>17148.95</v>
      </c>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54"/>
    </row>
    <row r="202" spans="1:61" s="24" customFormat="1" ht="187.5" customHeight="1">
      <c r="A202" s="316"/>
      <c r="B202" s="373" t="s">
        <v>317</v>
      </c>
      <c r="C202" s="316" t="s">
        <v>369</v>
      </c>
      <c r="D202" s="316" t="s">
        <v>78</v>
      </c>
      <c r="E202" s="316" t="s">
        <v>354</v>
      </c>
      <c r="F202" s="316" t="s">
        <v>42</v>
      </c>
      <c r="G202" s="3" t="s">
        <v>601</v>
      </c>
      <c r="H202" s="4" t="s">
        <v>447</v>
      </c>
      <c r="I202" s="106" t="s">
        <v>600</v>
      </c>
      <c r="J202" s="371">
        <v>15229.75408</v>
      </c>
      <c r="K202" s="371">
        <v>15229.75408</v>
      </c>
      <c r="L202" s="371">
        <f>14806.13+445.79</f>
        <v>15251.92</v>
      </c>
      <c r="M202" s="371">
        <f>14806.13+445.79</f>
        <v>15251.92</v>
      </c>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54"/>
    </row>
    <row r="203" spans="1:61" s="24" customFormat="1" ht="72.75" customHeight="1">
      <c r="A203" s="320"/>
      <c r="B203" s="374"/>
      <c r="C203" s="320"/>
      <c r="D203" s="320"/>
      <c r="E203" s="320"/>
      <c r="F203" s="320"/>
      <c r="G203" s="3" t="s">
        <v>859</v>
      </c>
      <c r="H203" s="4" t="s">
        <v>446</v>
      </c>
      <c r="I203" s="106" t="s">
        <v>858</v>
      </c>
      <c r="J203" s="372"/>
      <c r="K203" s="372"/>
      <c r="L203" s="372"/>
      <c r="M203" s="372"/>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54"/>
    </row>
    <row r="204" spans="1:61" s="24" customFormat="1" ht="192.75" customHeight="1">
      <c r="A204" s="316"/>
      <c r="B204" s="373" t="s">
        <v>318</v>
      </c>
      <c r="C204" s="316" t="s">
        <v>369</v>
      </c>
      <c r="D204" s="316" t="s">
        <v>78</v>
      </c>
      <c r="E204" s="316" t="s">
        <v>355</v>
      </c>
      <c r="F204" s="316" t="s">
        <v>42</v>
      </c>
      <c r="G204" s="3" t="s">
        <v>603</v>
      </c>
      <c r="H204" s="4" t="s">
        <v>448</v>
      </c>
      <c r="I204" s="106" t="s">
        <v>602</v>
      </c>
      <c r="J204" s="368">
        <f>1307.13+22.166</f>
        <v>1329.296</v>
      </c>
      <c r="K204" s="368">
        <v>1329.29592</v>
      </c>
      <c r="L204" s="368">
        <v>1307.13</v>
      </c>
      <c r="M204" s="368">
        <v>1307.13</v>
      </c>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54"/>
    </row>
    <row r="205" spans="1:61" s="24" customFormat="1" ht="75" customHeight="1">
      <c r="A205" s="320"/>
      <c r="B205" s="374"/>
      <c r="C205" s="320"/>
      <c r="D205" s="320"/>
      <c r="E205" s="320"/>
      <c r="F205" s="320"/>
      <c r="G205" s="3" t="s">
        <v>859</v>
      </c>
      <c r="H205" s="4" t="s">
        <v>446</v>
      </c>
      <c r="I205" s="268" t="s">
        <v>858</v>
      </c>
      <c r="J205" s="372"/>
      <c r="K205" s="372"/>
      <c r="L205" s="372"/>
      <c r="M205" s="372"/>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54"/>
    </row>
    <row r="206" spans="1:61" s="24" customFormat="1" ht="21.75" customHeight="1">
      <c r="A206" s="2"/>
      <c r="B206" s="12" t="s">
        <v>97</v>
      </c>
      <c r="C206" s="2" t="s">
        <v>369</v>
      </c>
      <c r="D206" s="2" t="s">
        <v>78</v>
      </c>
      <c r="E206" s="2" t="s">
        <v>356</v>
      </c>
      <c r="F206" s="2" t="s">
        <v>42</v>
      </c>
      <c r="G206" s="350" t="s">
        <v>604</v>
      </c>
      <c r="H206" s="317" t="s">
        <v>441</v>
      </c>
      <c r="I206" s="331" t="s">
        <v>592</v>
      </c>
      <c r="J206" s="309">
        <v>39.9</v>
      </c>
      <c r="K206" s="309">
        <v>39.9</v>
      </c>
      <c r="L206" s="309">
        <v>39.9</v>
      </c>
      <c r="M206" s="309">
        <v>39.9</v>
      </c>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54"/>
    </row>
    <row r="207" spans="1:61" s="24" customFormat="1" ht="30">
      <c r="A207" s="2"/>
      <c r="B207" s="12" t="s">
        <v>247</v>
      </c>
      <c r="C207" s="2" t="s">
        <v>369</v>
      </c>
      <c r="D207" s="2" t="s">
        <v>78</v>
      </c>
      <c r="E207" s="2" t="s">
        <v>357</v>
      </c>
      <c r="F207" s="2" t="s">
        <v>42</v>
      </c>
      <c r="G207" s="351"/>
      <c r="H207" s="318"/>
      <c r="I207" s="337"/>
      <c r="J207" s="310">
        <v>550</v>
      </c>
      <c r="K207" s="310">
        <v>550</v>
      </c>
      <c r="L207" s="310">
        <v>550</v>
      </c>
      <c r="M207" s="310">
        <v>550</v>
      </c>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54"/>
    </row>
    <row r="208" spans="1:61" s="60" customFormat="1" ht="30" customHeight="1">
      <c r="A208" s="106"/>
      <c r="B208" s="108" t="s">
        <v>248</v>
      </c>
      <c r="C208" s="2"/>
      <c r="D208" s="2"/>
      <c r="E208" s="2" t="s">
        <v>359</v>
      </c>
      <c r="F208" s="90"/>
      <c r="G208" s="151"/>
      <c r="H208" s="152"/>
      <c r="I208" s="152"/>
      <c r="J208" s="216">
        <f>J209+J210+J211+J212</f>
        <v>53402.606080000005</v>
      </c>
      <c r="K208" s="216">
        <f>K209+K210+K211+K212</f>
        <v>53402.606080000005</v>
      </c>
      <c r="L208" s="216">
        <f>L209+L210+L211+L212</f>
        <v>42426.07</v>
      </c>
      <c r="M208" s="216">
        <f>M209+M210+M211+M212</f>
        <v>42561.64</v>
      </c>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5"/>
    </row>
    <row r="209" spans="1:61" s="60" customFormat="1" ht="129" customHeight="1">
      <c r="A209" s="106"/>
      <c r="B209" s="90" t="s">
        <v>249</v>
      </c>
      <c r="C209" s="2" t="s">
        <v>369</v>
      </c>
      <c r="D209" s="1" t="s">
        <v>78</v>
      </c>
      <c r="E209" s="2" t="s">
        <v>360</v>
      </c>
      <c r="F209" s="1" t="s">
        <v>42</v>
      </c>
      <c r="G209" s="348" t="s">
        <v>606</v>
      </c>
      <c r="H209" s="331" t="s">
        <v>449</v>
      </c>
      <c r="I209" s="316" t="s">
        <v>605</v>
      </c>
      <c r="J209" s="311">
        <v>39146.66848</v>
      </c>
      <c r="K209" s="311">
        <v>39146.66848</v>
      </c>
      <c r="L209" s="311">
        <f>37397.47+828.61</f>
        <v>38226.08</v>
      </c>
      <c r="M209" s="311">
        <f>37397.47+828.61+85.6</f>
        <v>38311.68</v>
      </c>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5"/>
    </row>
    <row r="210" spans="1:61" s="60" customFormat="1" ht="120.75" customHeight="1">
      <c r="A210" s="162"/>
      <c r="B210" s="12" t="s">
        <v>250</v>
      </c>
      <c r="C210" s="2" t="s">
        <v>369</v>
      </c>
      <c r="D210" s="2" t="s">
        <v>78</v>
      </c>
      <c r="E210" s="1" t="s">
        <v>361</v>
      </c>
      <c r="F210" s="2" t="s">
        <v>42</v>
      </c>
      <c r="G210" s="355"/>
      <c r="H210" s="336"/>
      <c r="I210" s="319"/>
      <c r="J210" s="311">
        <f>4560.3+60+185</f>
        <v>4805.3</v>
      </c>
      <c r="K210" s="311">
        <f>4560.3+60+185</f>
        <v>4805.3</v>
      </c>
      <c r="L210" s="311">
        <v>3199.99</v>
      </c>
      <c r="M210" s="311">
        <v>3249.96</v>
      </c>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5"/>
    </row>
    <row r="211" spans="1:61" s="60" customFormat="1" ht="178.5" customHeight="1">
      <c r="A211" s="106"/>
      <c r="B211" s="57" t="s">
        <v>577</v>
      </c>
      <c r="C211" s="2" t="s">
        <v>369</v>
      </c>
      <c r="D211" s="2" t="s">
        <v>78</v>
      </c>
      <c r="E211" s="106" t="s">
        <v>362</v>
      </c>
      <c r="F211" s="10" t="s">
        <v>42</v>
      </c>
      <c r="G211" s="27" t="s">
        <v>717</v>
      </c>
      <c r="H211" s="152" t="s">
        <v>547</v>
      </c>
      <c r="I211" s="152" t="s">
        <v>610</v>
      </c>
      <c r="J211" s="236">
        <v>8450.6376</v>
      </c>
      <c r="K211" s="236">
        <v>8450.6376</v>
      </c>
      <c r="L211" s="236">
        <v>0</v>
      </c>
      <c r="M211" s="236">
        <v>0</v>
      </c>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5"/>
    </row>
    <row r="212" spans="1:13" s="68" customFormat="1" ht="45" customHeight="1">
      <c r="A212" s="175"/>
      <c r="B212" s="57" t="s">
        <v>576</v>
      </c>
      <c r="C212" s="2" t="s">
        <v>369</v>
      </c>
      <c r="D212" s="106" t="s">
        <v>78</v>
      </c>
      <c r="E212" s="106" t="s">
        <v>529</v>
      </c>
      <c r="F212" s="106" t="s">
        <v>42</v>
      </c>
      <c r="G212" s="179" t="s">
        <v>604</v>
      </c>
      <c r="H212" s="178" t="s">
        <v>530</v>
      </c>
      <c r="I212" s="178" t="s">
        <v>592</v>
      </c>
      <c r="J212" s="309">
        <v>1000</v>
      </c>
      <c r="K212" s="309">
        <v>1000</v>
      </c>
      <c r="L212" s="309">
        <v>1000</v>
      </c>
      <c r="M212" s="309">
        <v>1000</v>
      </c>
    </row>
    <row r="213" spans="1:13" s="68" customFormat="1" ht="45" customHeight="1">
      <c r="A213" s="300"/>
      <c r="B213" s="57"/>
      <c r="C213" s="2"/>
      <c r="D213" s="303"/>
      <c r="E213" s="303" t="s">
        <v>65</v>
      </c>
      <c r="F213" s="303"/>
      <c r="G213" s="301"/>
      <c r="H213" s="299"/>
      <c r="I213" s="299"/>
      <c r="J213" s="304">
        <f>J214</f>
        <v>52.63158</v>
      </c>
      <c r="K213" s="304">
        <f>K214</f>
        <v>52.63158</v>
      </c>
      <c r="L213" s="304">
        <f>L214</f>
        <v>0</v>
      </c>
      <c r="M213" s="304">
        <f>M214</f>
        <v>0</v>
      </c>
    </row>
    <row r="214" spans="1:13" s="68" customFormat="1" ht="150" customHeight="1">
      <c r="A214" s="300"/>
      <c r="B214" s="57" t="s">
        <v>978</v>
      </c>
      <c r="C214" s="2" t="s">
        <v>369</v>
      </c>
      <c r="D214" s="303" t="s">
        <v>78</v>
      </c>
      <c r="E214" s="303" t="s">
        <v>977</v>
      </c>
      <c r="F214" s="303" t="s">
        <v>42</v>
      </c>
      <c r="G214" s="92" t="s">
        <v>987</v>
      </c>
      <c r="H214" s="1" t="s">
        <v>281</v>
      </c>
      <c r="I214" s="1" t="s">
        <v>988</v>
      </c>
      <c r="J214" s="309">
        <v>52.63158</v>
      </c>
      <c r="K214" s="309">
        <v>52.63158</v>
      </c>
      <c r="L214" s="309">
        <v>0</v>
      </c>
      <c r="M214" s="309">
        <v>0</v>
      </c>
    </row>
    <row r="215" spans="1:13" ht="45" customHeight="1">
      <c r="A215" s="78" t="s">
        <v>162</v>
      </c>
      <c r="B215" s="79" t="s">
        <v>161</v>
      </c>
      <c r="C215" s="78"/>
      <c r="D215" s="80"/>
      <c r="E215" s="78"/>
      <c r="F215" s="78"/>
      <c r="G215" s="81"/>
      <c r="H215" s="78"/>
      <c r="I215" s="78"/>
      <c r="J215" s="208">
        <f>J216</f>
        <v>46433.07948</v>
      </c>
      <c r="K215" s="208">
        <f>K216</f>
        <v>46433.07948</v>
      </c>
      <c r="L215" s="208">
        <f>L216</f>
        <v>43269.31</v>
      </c>
      <c r="M215" s="208">
        <f>M216</f>
        <v>39269.31</v>
      </c>
    </row>
    <row r="216" spans="1:13" ht="45" customHeight="1">
      <c r="A216" s="4"/>
      <c r="B216" s="12" t="s">
        <v>220</v>
      </c>
      <c r="C216" s="2"/>
      <c r="D216" s="2"/>
      <c r="E216" s="2" t="s">
        <v>53</v>
      </c>
      <c r="F216" s="2"/>
      <c r="G216" s="47"/>
      <c r="H216" s="2"/>
      <c r="I216" s="47"/>
      <c r="J216" s="209">
        <f>J217+J226+J231</f>
        <v>46433.07948</v>
      </c>
      <c r="K216" s="209">
        <f>K217+K226+K231</f>
        <v>46433.07948</v>
      </c>
      <c r="L216" s="209">
        <f>L217+L226+L231</f>
        <v>43269.31</v>
      </c>
      <c r="M216" s="209">
        <f>M217+M226+M231</f>
        <v>39269.31</v>
      </c>
    </row>
    <row r="217" spans="1:13" ht="30" customHeight="1">
      <c r="A217" s="4"/>
      <c r="B217" s="12" t="s">
        <v>221</v>
      </c>
      <c r="C217" s="4"/>
      <c r="D217" s="2"/>
      <c r="E217" s="2" t="s">
        <v>54</v>
      </c>
      <c r="F217" s="2"/>
      <c r="G217" s="47"/>
      <c r="H217" s="2"/>
      <c r="I217" s="47"/>
      <c r="J217" s="209">
        <f>J218+J223+J224+J225</f>
        <v>40453.5454</v>
      </c>
      <c r="K217" s="209">
        <f>K218+K223+K224+K225</f>
        <v>40453.5454</v>
      </c>
      <c r="L217" s="209">
        <f>L218+L223+L224+L225</f>
        <v>39039.31</v>
      </c>
      <c r="M217" s="209">
        <f>M218+M223+M224+M225</f>
        <v>39039.31</v>
      </c>
    </row>
    <row r="218" spans="1:13" ht="45" customHeight="1">
      <c r="A218" s="4"/>
      <c r="B218" s="108" t="s">
        <v>222</v>
      </c>
      <c r="C218" s="4"/>
      <c r="D218" s="2"/>
      <c r="E218" s="1" t="s">
        <v>223</v>
      </c>
      <c r="F218" s="2"/>
      <c r="G218" s="138"/>
      <c r="H218" s="1"/>
      <c r="I218" s="138"/>
      <c r="J218" s="209">
        <f>J219+J221+J222+J220</f>
        <v>5999.342000000001</v>
      </c>
      <c r="K218" s="209">
        <f>K219+K221+K222+K220</f>
        <v>5999.342000000001</v>
      </c>
      <c r="L218" s="209">
        <f>L219+L221+L222+L220</f>
        <v>5671.0599999999995</v>
      </c>
      <c r="M218" s="209">
        <f>M219+M221+M222+M220</f>
        <v>5671.0599999999995</v>
      </c>
    </row>
    <row r="219" spans="1:13" ht="111" customHeight="1">
      <c r="A219" s="4"/>
      <c r="B219" s="321" t="s">
        <v>348</v>
      </c>
      <c r="C219" s="4" t="s">
        <v>369</v>
      </c>
      <c r="D219" s="2" t="s">
        <v>319</v>
      </c>
      <c r="E219" s="1" t="s">
        <v>349</v>
      </c>
      <c r="F219" s="2" t="s">
        <v>42</v>
      </c>
      <c r="G219" s="350" t="s">
        <v>735</v>
      </c>
      <c r="H219" s="316" t="s">
        <v>471</v>
      </c>
      <c r="I219" s="317" t="s">
        <v>607</v>
      </c>
      <c r="J219" s="309">
        <f>3232.34+28.282-382.7</f>
        <v>2877.9220000000005</v>
      </c>
      <c r="K219" s="309">
        <f>3232.34+28.282-382.7</f>
        <v>2877.9220000000005</v>
      </c>
      <c r="L219" s="309">
        <v>3232.34</v>
      </c>
      <c r="M219" s="309">
        <v>3232.34</v>
      </c>
    </row>
    <row r="220" spans="1:13" ht="102.75" customHeight="1">
      <c r="A220" s="100"/>
      <c r="B220" s="322"/>
      <c r="C220" s="4" t="s">
        <v>369</v>
      </c>
      <c r="D220" s="2" t="s">
        <v>319</v>
      </c>
      <c r="E220" s="1" t="s">
        <v>349</v>
      </c>
      <c r="F220" s="2" t="s">
        <v>254</v>
      </c>
      <c r="G220" s="351"/>
      <c r="H220" s="320"/>
      <c r="I220" s="318"/>
      <c r="J220" s="309">
        <f>843.9+382.7</f>
        <v>1226.6</v>
      </c>
      <c r="K220" s="309">
        <f>843.9+382.7</f>
        <v>1226.6</v>
      </c>
      <c r="L220" s="309">
        <v>843.9</v>
      </c>
      <c r="M220" s="309">
        <v>843.9</v>
      </c>
    </row>
    <row r="221" spans="1:13" ht="207.75" customHeight="1">
      <c r="A221" s="100"/>
      <c r="B221" s="57" t="s">
        <v>351</v>
      </c>
      <c r="C221" s="4" t="s">
        <v>369</v>
      </c>
      <c r="D221" s="4">
        <v>1102</v>
      </c>
      <c r="E221" s="1" t="s">
        <v>350</v>
      </c>
      <c r="F221" s="4">
        <v>610</v>
      </c>
      <c r="G221" s="45" t="s">
        <v>736</v>
      </c>
      <c r="H221" s="57" t="s">
        <v>471</v>
      </c>
      <c r="I221" s="188" t="s">
        <v>608</v>
      </c>
      <c r="J221" s="309">
        <f>188+100+200</f>
        <v>488</v>
      </c>
      <c r="K221" s="309">
        <f>188+100+200</f>
        <v>488</v>
      </c>
      <c r="L221" s="309">
        <v>188</v>
      </c>
      <c r="M221" s="309">
        <v>188</v>
      </c>
    </row>
    <row r="222" spans="1:13" ht="257.25" customHeight="1">
      <c r="A222" s="168"/>
      <c r="B222" s="177" t="s">
        <v>582</v>
      </c>
      <c r="C222" s="4" t="s">
        <v>369</v>
      </c>
      <c r="D222" s="4">
        <v>1102</v>
      </c>
      <c r="E222" s="1" t="s">
        <v>581</v>
      </c>
      <c r="F222" s="4">
        <v>620</v>
      </c>
      <c r="G222" s="181" t="s">
        <v>768</v>
      </c>
      <c r="H222" s="134"/>
      <c r="I222" s="189" t="s">
        <v>608</v>
      </c>
      <c r="J222" s="309">
        <v>1406.82</v>
      </c>
      <c r="K222" s="309">
        <v>1406.82</v>
      </c>
      <c r="L222" s="309">
        <v>1406.82</v>
      </c>
      <c r="M222" s="309">
        <v>1406.82</v>
      </c>
    </row>
    <row r="223" spans="1:60" ht="142.5" customHeight="1">
      <c r="A223" s="317"/>
      <c r="B223" s="12" t="s">
        <v>879</v>
      </c>
      <c r="C223" s="4" t="s">
        <v>369</v>
      </c>
      <c r="D223" s="4">
        <v>1102</v>
      </c>
      <c r="E223" s="1" t="s">
        <v>379</v>
      </c>
      <c r="F223" s="4">
        <v>610</v>
      </c>
      <c r="G223" s="348" t="s">
        <v>769</v>
      </c>
      <c r="H223" s="316" t="s">
        <v>548</v>
      </c>
      <c r="I223" s="316" t="s">
        <v>609</v>
      </c>
      <c r="J223" s="309">
        <f>19876.61+509.53-28.282</f>
        <v>20357.858</v>
      </c>
      <c r="K223" s="309">
        <f>19876.61+509.53-28.282</f>
        <v>20357.858</v>
      </c>
      <c r="L223" s="309">
        <f>19876.61+509.53</f>
        <v>20386.14</v>
      </c>
      <c r="M223" s="309">
        <f>19876.61+509.53</f>
        <v>20386.14</v>
      </c>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row>
    <row r="224" spans="1:60" ht="118.5" customHeight="1">
      <c r="A224" s="318"/>
      <c r="B224" s="12" t="s">
        <v>880</v>
      </c>
      <c r="C224" s="4" t="s">
        <v>369</v>
      </c>
      <c r="D224" s="4">
        <v>1102</v>
      </c>
      <c r="E224" s="1" t="s">
        <v>378</v>
      </c>
      <c r="F224" s="4">
        <v>620</v>
      </c>
      <c r="G224" s="349"/>
      <c r="H224" s="320"/>
      <c r="I224" s="320"/>
      <c r="J224" s="309">
        <v>13375.2372</v>
      </c>
      <c r="K224" s="309">
        <v>13375.2372</v>
      </c>
      <c r="L224" s="309">
        <f>12663.58+318.53</f>
        <v>12982.11</v>
      </c>
      <c r="M224" s="309">
        <f>12663.58+318.53</f>
        <v>12982.11</v>
      </c>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row>
    <row r="225" spans="1:60" ht="93.75" customHeight="1">
      <c r="A225" s="100"/>
      <c r="B225" s="187" t="s">
        <v>776</v>
      </c>
      <c r="C225" s="4" t="s">
        <v>369</v>
      </c>
      <c r="D225" s="4">
        <v>1102</v>
      </c>
      <c r="E225" s="1" t="s">
        <v>775</v>
      </c>
      <c r="F225" s="4">
        <v>610</v>
      </c>
      <c r="G225" s="231" t="s">
        <v>777</v>
      </c>
      <c r="H225" s="105" t="s">
        <v>778</v>
      </c>
      <c r="I225" s="105" t="s">
        <v>779</v>
      </c>
      <c r="J225" s="309">
        <v>721.1082</v>
      </c>
      <c r="K225" s="309">
        <v>721.1082</v>
      </c>
      <c r="L225" s="309">
        <v>0</v>
      </c>
      <c r="M225" s="309">
        <v>0</v>
      </c>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row>
    <row r="226" spans="1:60" ht="35.25" customHeight="1">
      <c r="A226" s="4"/>
      <c r="B226" s="12" t="s">
        <v>224</v>
      </c>
      <c r="C226" s="4"/>
      <c r="D226" s="2"/>
      <c r="E226" s="2" t="s">
        <v>55</v>
      </c>
      <c r="F226" s="2"/>
      <c r="G226" s="25"/>
      <c r="H226" s="2"/>
      <c r="I226" s="47"/>
      <c r="J226" s="209">
        <f>J230+J228+J227+J229</f>
        <v>5749.53408</v>
      </c>
      <c r="K226" s="209">
        <f>K230+K228+K227+K229</f>
        <v>5749.53408</v>
      </c>
      <c r="L226" s="209">
        <f>L230+L228+L227+L229</f>
        <v>4000</v>
      </c>
      <c r="M226" s="209">
        <f>M230+M228+M227+M229</f>
        <v>0</v>
      </c>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row>
    <row r="227" spans="1:60" ht="101.25" customHeight="1">
      <c r="A227" s="107"/>
      <c r="B227" s="108" t="s">
        <v>841</v>
      </c>
      <c r="C227" s="4" t="s">
        <v>369</v>
      </c>
      <c r="D227" s="4">
        <v>1102</v>
      </c>
      <c r="E227" s="1" t="s">
        <v>840</v>
      </c>
      <c r="F227" s="4">
        <v>460</v>
      </c>
      <c r="G227" s="27" t="s">
        <v>842</v>
      </c>
      <c r="H227" s="2" t="s">
        <v>843</v>
      </c>
      <c r="I227" s="4" t="s">
        <v>844</v>
      </c>
      <c r="J227" s="209">
        <v>55.55716</v>
      </c>
      <c r="K227" s="209">
        <v>55.55716</v>
      </c>
      <c r="L227" s="209">
        <v>0</v>
      </c>
      <c r="M227" s="209">
        <v>0</v>
      </c>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row>
    <row r="228" spans="1:60" ht="133.5" customHeight="1">
      <c r="A228" s="4"/>
      <c r="B228" s="110" t="s">
        <v>372</v>
      </c>
      <c r="C228" s="2" t="s">
        <v>369</v>
      </c>
      <c r="D228" s="4">
        <v>1102</v>
      </c>
      <c r="E228" s="106" t="s">
        <v>373</v>
      </c>
      <c r="F228" s="10" t="s">
        <v>42</v>
      </c>
      <c r="G228" s="153" t="s">
        <v>780</v>
      </c>
      <c r="H228" s="134" t="s">
        <v>470</v>
      </c>
      <c r="I228" s="149" t="s">
        <v>781</v>
      </c>
      <c r="J228" s="281">
        <f>897.69+2693.07</f>
        <v>3590.76</v>
      </c>
      <c r="K228" s="236">
        <f>897.69+2693.07</f>
        <v>3590.76</v>
      </c>
      <c r="L228" s="236">
        <v>4000</v>
      </c>
      <c r="M228" s="236">
        <v>0</v>
      </c>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row>
    <row r="229" spans="1:60" ht="103.5" customHeight="1">
      <c r="A229" s="100"/>
      <c r="B229" s="343" t="s">
        <v>442</v>
      </c>
      <c r="C229" s="2" t="s">
        <v>369</v>
      </c>
      <c r="D229" s="4">
        <v>1102</v>
      </c>
      <c r="E229" s="279" t="s">
        <v>320</v>
      </c>
      <c r="F229" s="10" t="s">
        <v>42</v>
      </c>
      <c r="G229" s="425" t="s">
        <v>737</v>
      </c>
      <c r="H229" s="316" t="s">
        <v>469</v>
      </c>
      <c r="I229" s="343" t="s">
        <v>610</v>
      </c>
      <c r="J229" s="236">
        <v>574.67494</v>
      </c>
      <c r="K229" s="236">
        <v>574.67494</v>
      </c>
      <c r="L229" s="236">
        <v>0</v>
      </c>
      <c r="M229" s="236">
        <v>0</v>
      </c>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row>
    <row r="230" spans="1:60" ht="80.25" customHeight="1">
      <c r="A230" s="100"/>
      <c r="B230" s="328"/>
      <c r="C230" s="2" t="s">
        <v>369</v>
      </c>
      <c r="D230" s="4">
        <v>1102</v>
      </c>
      <c r="E230" s="106" t="s">
        <v>320</v>
      </c>
      <c r="F230" s="10" t="s">
        <v>254</v>
      </c>
      <c r="G230" s="426"/>
      <c r="H230" s="315"/>
      <c r="I230" s="328"/>
      <c r="J230" s="236">
        <v>1528.54198</v>
      </c>
      <c r="K230" s="236">
        <v>1528.54198</v>
      </c>
      <c r="L230" s="236">
        <v>0</v>
      </c>
      <c r="M230" s="236">
        <v>0</v>
      </c>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row>
    <row r="231" spans="1:60" ht="44.25" customHeight="1">
      <c r="A231" s="4"/>
      <c r="B231" s="12" t="s">
        <v>49</v>
      </c>
      <c r="C231" s="4"/>
      <c r="D231" s="2"/>
      <c r="E231" s="2" t="s">
        <v>56</v>
      </c>
      <c r="F231" s="2"/>
      <c r="G231" s="27"/>
      <c r="H231" s="2"/>
      <c r="I231" s="47"/>
      <c r="J231" s="209">
        <f>J232+J233</f>
        <v>230</v>
      </c>
      <c r="K231" s="209">
        <f>K232+K233</f>
        <v>230</v>
      </c>
      <c r="L231" s="209">
        <f>L232+L233</f>
        <v>230</v>
      </c>
      <c r="M231" s="209">
        <f>M232+M233</f>
        <v>230</v>
      </c>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row>
    <row r="232" spans="1:60" ht="45" customHeight="1">
      <c r="A232" s="4"/>
      <c r="B232" s="57" t="s">
        <v>57</v>
      </c>
      <c r="C232" s="2" t="s">
        <v>369</v>
      </c>
      <c r="D232" s="4">
        <v>1105</v>
      </c>
      <c r="E232" s="2" t="s">
        <v>225</v>
      </c>
      <c r="F232" s="10" t="s">
        <v>42</v>
      </c>
      <c r="G232" s="323" t="s">
        <v>711</v>
      </c>
      <c r="H232" s="352" t="s">
        <v>468</v>
      </c>
      <c r="I232" s="352" t="s">
        <v>611</v>
      </c>
      <c r="J232" s="309">
        <v>75</v>
      </c>
      <c r="K232" s="309">
        <v>75</v>
      </c>
      <c r="L232" s="309">
        <v>75</v>
      </c>
      <c r="M232" s="309">
        <v>75</v>
      </c>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row>
    <row r="233" spans="1:60" ht="49.5" customHeight="1">
      <c r="A233" s="4"/>
      <c r="B233" s="90" t="s">
        <v>58</v>
      </c>
      <c r="C233" s="2" t="s">
        <v>369</v>
      </c>
      <c r="D233" s="4">
        <v>1105</v>
      </c>
      <c r="E233" s="2" t="s">
        <v>226</v>
      </c>
      <c r="F233" s="10" t="s">
        <v>42</v>
      </c>
      <c r="G233" s="324"/>
      <c r="H233" s="354"/>
      <c r="I233" s="354"/>
      <c r="J233" s="309">
        <v>155</v>
      </c>
      <c r="K233" s="309">
        <v>155</v>
      </c>
      <c r="L233" s="309">
        <v>155</v>
      </c>
      <c r="M233" s="309">
        <v>155</v>
      </c>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row>
    <row r="234" spans="1:13" s="68" customFormat="1" ht="30" customHeight="1">
      <c r="A234" s="78" t="s">
        <v>196</v>
      </c>
      <c r="B234" s="86" t="s">
        <v>200</v>
      </c>
      <c r="C234" s="86"/>
      <c r="D234" s="86"/>
      <c r="E234" s="86"/>
      <c r="F234" s="86"/>
      <c r="G234" s="86"/>
      <c r="H234" s="86"/>
      <c r="I234" s="86"/>
      <c r="J234" s="208">
        <f aca="true" t="shared" si="13" ref="J234:M235">J235</f>
        <v>2220.87782</v>
      </c>
      <c r="K234" s="208">
        <f t="shared" si="13"/>
        <v>1281.57882</v>
      </c>
      <c r="L234" s="208">
        <f t="shared" si="13"/>
        <v>1500</v>
      </c>
      <c r="M234" s="208">
        <f t="shared" si="13"/>
        <v>1500</v>
      </c>
    </row>
    <row r="235" spans="1:13" s="68" customFormat="1" ht="30" customHeight="1">
      <c r="A235" s="2"/>
      <c r="B235" s="57" t="s">
        <v>204</v>
      </c>
      <c r="C235" s="2"/>
      <c r="D235" s="2"/>
      <c r="E235" s="2" t="s">
        <v>205</v>
      </c>
      <c r="F235" s="2"/>
      <c r="G235" s="2"/>
      <c r="H235" s="2"/>
      <c r="I235" s="2"/>
      <c r="J235" s="209">
        <f t="shared" si="13"/>
        <v>2220.87782</v>
      </c>
      <c r="K235" s="209">
        <f t="shared" si="13"/>
        <v>1281.57882</v>
      </c>
      <c r="L235" s="209">
        <f t="shared" si="13"/>
        <v>1500</v>
      </c>
      <c r="M235" s="209">
        <f t="shared" si="13"/>
        <v>1500</v>
      </c>
    </row>
    <row r="236" spans="1:13" s="68" customFormat="1" ht="58.5" customHeight="1">
      <c r="A236" s="2"/>
      <c r="B236" s="57" t="s">
        <v>206</v>
      </c>
      <c r="C236" s="2" t="s">
        <v>4</v>
      </c>
      <c r="D236" s="2" t="s">
        <v>210</v>
      </c>
      <c r="E236" s="2" t="s">
        <v>207</v>
      </c>
      <c r="F236" s="2" t="s">
        <v>38</v>
      </c>
      <c r="G236" s="9" t="s">
        <v>506</v>
      </c>
      <c r="H236" s="4" t="s">
        <v>44</v>
      </c>
      <c r="I236" s="5" t="s">
        <v>381</v>
      </c>
      <c r="J236" s="209">
        <f>2439.299-71.075-147.34618</f>
        <v>2220.87782</v>
      </c>
      <c r="K236" s="209">
        <f>1500-71.075-147.34618</f>
        <v>1281.57882</v>
      </c>
      <c r="L236" s="209">
        <v>1500</v>
      </c>
      <c r="M236" s="209">
        <v>1500</v>
      </c>
    </row>
    <row r="237" spans="1:13" s="68" customFormat="1" ht="60" customHeight="1">
      <c r="A237" s="78" t="s">
        <v>197</v>
      </c>
      <c r="B237" s="86" t="s">
        <v>201</v>
      </c>
      <c r="C237" s="86"/>
      <c r="D237" s="86"/>
      <c r="E237" s="86"/>
      <c r="F237" s="86"/>
      <c r="G237" s="86"/>
      <c r="H237" s="86"/>
      <c r="I237" s="86"/>
      <c r="J237" s="208">
        <f aca="true" t="shared" si="14" ref="J237:M238">J238</f>
        <v>2864.03098</v>
      </c>
      <c r="K237" s="208">
        <f t="shared" si="14"/>
        <v>2223.02798</v>
      </c>
      <c r="L237" s="208">
        <f t="shared" si="14"/>
        <v>1500</v>
      </c>
      <c r="M237" s="208">
        <f t="shared" si="14"/>
        <v>1500</v>
      </c>
    </row>
    <row r="238" spans="1:13" s="68" customFormat="1" ht="30" customHeight="1">
      <c r="A238" s="2"/>
      <c r="B238" s="57" t="s">
        <v>204</v>
      </c>
      <c r="C238" s="2"/>
      <c r="D238" s="2"/>
      <c r="E238" s="2" t="s">
        <v>205</v>
      </c>
      <c r="F238" s="57"/>
      <c r="G238" s="57"/>
      <c r="H238" s="57"/>
      <c r="I238" s="57"/>
      <c r="J238" s="209">
        <f>J239+J240</f>
        <v>2864.03098</v>
      </c>
      <c r="K238" s="209">
        <f>K239+K240</f>
        <v>2223.02798</v>
      </c>
      <c r="L238" s="209">
        <f t="shared" si="14"/>
        <v>1500</v>
      </c>
      <c r="M238" s="209">
        <f t="shared" si="14"/>
        <v>1500</v>
      </c>
    </row>
    <row r="239" spans="1:13" s="68" customFormat="1" ht="32.25" customHeight="1">
      <c r="A239" s="2"/>
      <c r="B239" s="343" t="s">
        <v>206</v>
      </c>
      <c r="C239" s="2" t="s">
        <v>4</v>
      </c>
      <c r="D239" s="2" t="s">
        <v>210</v>
      </c>
      <c r="E239" s="2" t="s">
        <v>207</v>
      </c>
      <c r="F239" s="2" t="s">
        <v>38</v>
      </c>
      <c r="G239" s="314" t="s">
        <v>506</v>
      </c>
      <c r="H239" s="317" t="s">
        <v>44</v>
      </c>
      <c r="I239" s="345" t="s">
        <v>381</v>
      </c>
      <c r="J239" s="209">
        <f>2200-300</f>
        <v>1900</v>
      </c>
      <c r="K239" s="209">
        <f>1500-300+58.997</f>
        <v>1258.997</v>
      </c>
      <c r="L239" s="209">
        <v>1500</v>
      </c>
      <c r="M239" s="209">
        <v>1500</v>
      </c>
    </row>
    <row r="240" spans="1:13" s="68" customFormat="1" ht="25.5" customHeight="1">
      <c r="A240" s="2"/>
      <c r="B240" s="328"/>
      <c r="C240" s="2" t="s">
        <v>4</v>
      </c>
      <c r="D240" s="2" t="s">
        <v>210</v>
      </c>
      <c r="E240" s="2" t="s">
        <v>822</v>
      </c>
      <c r="F240" s="2" t="s">
        <v>38</v>
      </c>
      <c r="G240" s="315"/>
      <c r="H240" s="315"/>
      <c r="I240" s="315"/>
      <c r="J240" s="209">
        <f>300-58.99225+723.02323</f>
        <v>964.03098</v>
      </c>
      <c r="K240" s="209">
        <f>300-58.99225+723.02323</f>
        <v>964.03098</v>
      </c>
      <c r="L240" s="209">
        <v>0</v>
      </c>
      <c r="M240" s="209">
        <v>0</v>
      </c>
    </row>
    <row r="241" spans="1:13" s="68" customFormat="1" ht="57.75" customHeight="1">
      <c r="A241" s="78" t="s">
        <v>405</v>
      </c>
      <c r="B241" s="86" t="s">
        <v>406</v>
      </c>
      <c r="C241" s="86"/>
      <c r="D241" s="86"/>
      <c r="E241" s="86"/>
      <c r="F241" s="86"/>
      <c r="G241" s="86"/>
      <c r="H241" s="86"/>
      <c r="I241" s="86"/>
      <c r="J241" s="208">
        <f aca="true" t="shared" si="15" ref="J241:M242">J242</f>
        <v>0</v>
      </c>
      <c r="K241" s="208">
        <f t="shared" si="15"/>
        <v>0</v>
      </c>
      <c r="L241" s="208">
        <f t="shared" si="15"/>
        <v>25.7</v>
      </c>
      <c r="M241" s="208">
        <f t="shared" si="15"/>
        <v>25.7</v>
      </c>
    </row>
    <row r="242" spans="1:13" s="68" customFormat="1" ht="48" customHeight="1">
      <c r="A242" s="2"/>
      <c r="B242" s="7" t="s">
        <v>214</v>
      </c>
      <c r="C242" s="4"/>
      <c r="D242" s="2"/>
      <c r="E242" s="2" t="s">
        <v>51</v>
      </c>
      <c r="F242" s="2"/>
      <c r="G242" s="9"/>
      <c r="H242" s="4"/>
      <c r="I242" s="5"/>
      <c r="J242" s="209">
        <f t="shared" si="15"/>
        <v>0</v>
      </c>
      <c r="K242" s="209">
        <f t="shared" si="15"/>
        <v>0</v>
      </c>
      <c r="L242" s="209">
        <f t="shared" si="15"/>
        <v>25.7</v>
      </c>
      <c r="M242" s="209">
        <f t="shared" si="15"/>
        <v>25.7</v>
      </c>
    </row>
    <row r="243" spans="1:13" s="68" customFormat="1" ht="57.75" customHeight="1">
      <c r="A243" s="2"/>
      <c r="B243" s="57" t="s">
        <v>877</v>
      </c>
      <c r="C243" s="2" t="s">
        <v>367</v>
      </c>
      <c r="D243" s="106" t="s">
        <v>91</v>
      </c>
      <c r="E243" s="2" t="s">
        <v>404</v>
      </c>
      <c r="F243" s="2" t="s">
        <v>38</v>
      </c>
      <c r="G243" s="9" t="s">
        <v>707</v>
      </c>
      <c r="H243" s="2" t="s">
        <v>44</v>
      </c>
      <c r="I243" s="2" t="s">
        <v>169</v>
      </c>
      <c r="J243" s="209">
        <v>0</v>
      </c>
      <c r="K243" s="209">
        <v>0</v>
      </c>
      <c r="L243" s="209">
        <v>25.7</v>
      </c>
      <c r="M243" s="209">
        <v>25.7</v>
      </c>
    </row>
    <row r="244" spans="1:13" s="68" customFormat="1" ht="105" customHeight="1">
      <c r="A244" s="78" t="s">
        <v>198</v>
      </c>
      <c r="B244" s="86" t="s">
        <v>202</v>
      </c>
      <c r="C244" s="86"/>
      <c r="D244" s="86"/>
      <c r="E244" s="86"/>
      <c r="F244" s="86"/>
      <c r="G244" s="86"/>
      <c r="H244" s="86"/>
      <c r="I244" s="86"/>
      <c r="J244" s="208">
        <f>J247+J245+J257+J253</f>
        <v>34602.88065000001</v>
      </c>
      <c r="K244" s="208">
        <f>K247+K245+K257+K253</f>
        <v>29262.12258</v>
      </c>
      <c r="L244" s="208">
        <f>L247+L245+L257+L253</f>
        <v>29367.938019999998</v>
      </c>
      <c r="M244" s="208">
        <f>M247+M245+M257+M253</f>
        <v>23496.01338</v>
      </c>
    </row>
    <row r="245" spans="1:13" s="26" customFormat="1" ht="45" customHeight="1">
      <c r="A245" s="2"/>
      <c r="B245" s="7" t="s">
        <v>214</v>
      </c>
      <c r="C245" s="4"/>
      <c r="D245" s="2"/>
      <c r="E245" s="2" t="s">
        <v>51</v>
      </c>
      <c r="F245" s="2"/>
      <c r="G245" s="3"/>
      <c r="H245" s="90"/>
      <c r="I245" s="105"/>
      <c r="J245" s="209">
        <f>J246</f>
        <v>114.95168000000001</v>
      </c>
      <c r="K245" s="209">
        <f>K246</f>
        <v>114.95168000000001</v>
      </c>
      <c r="L245" s="209">
        <f>L246</f>
        <v>437.243</v>
      </c>
      <c r="M245" s="209">
        <f>M246</f>
        <v>430</v>
      </c>
    </row>
    <row r="246" spans="1:13" s="26" customFormat="1" ht="57" customHeight="1">
      <c r="A246" s="2"/>
      <c r="B246" s="11" t="s">
        <v>878</v>
      </c>
      <c r="C246" s="2" t="s">
        <v>367</v>
      </c>
      <c r="D246" s="106" t="s">
        <v>91</v>
      </c>
      <c r="E246" s="2" t="s">
        <v>404</v>
      </c>
      <c r="F246" s="2" t="s">
        <v>38</v>
      </c>
      <c r="G246" s="9" t="s">
        <v>707</v>
      </c>
      <c r="H246" s="2" t="s">
        <v>44</v>
      </c>
      <c r="I246" s="2" t="s">
        <v>592</v>
      </c>
      <c r="J246" s="209">
        <f>430-315.04832</f>
        <v>114.95168000000001</v>
      </c>
      <c r="K246" s="209">
        <f>430-315.04832</f>
        <v>114.95168000000001</v>
      </c>
      <c r="L246" s="209">
        <v>437.243</v>
      </c>
      <c r="M246" s="209">
        <v>430</v>
      </c>
    </row>
    <row r="247" spans="1:13" s="26" customFormat="1" ht="39.75" customHeight="1">
      <c r="A247" s="2"/>
      <c r="B247" s="57" t="s">
        <v>204</v>
      </c>
      <c r="C247" s="2"/>
      <c r="D247" s="2"/>
      <c r="E247" s="2" t="s">
        <v>205</v>
      </c>
      <c r="F247" s="57"/>
      <c r="G247" s="57"/>
      <c r="H247" s="57"/>
      <c r="I247" s="57"/>
      <c r="J247" s="209">
        <f>J248+J249+J250+J251+J252</f>
        <v>15331.375300000002</v>
      </c>
      <c r="K247" s="209">
        <f>K248+K249+K250+K251+K252</f>
        <v>9990.617229999998</v>
      </c>
      <c r="L247" s="209">
        <f>L248+L249+L250+L251+L252</f>
        <v>13230.66338</v>
      </c>
      <c r="M247" s="209">
        <f>M248+M249+M250+M251+M252</f>
        <v>10730.66338</v>
      </c>
    </row>
    <row r="248" spans="1:13" s="68" customFormat="1" ht="47.25" customHeight="1">
      <c r="A248" s="1"/>
      <c r="B248" s="108" t="s">
        <v>206</v>
      </c>
      <c r="C248" s="2" t="s">
        <v>4</v>
      </c>
      <c r="D248" s="1" t="s">
        <v>210</v>
      </c>
      <c r="E248" s="1" t="s">
        <v>207</v>
      </c>
      <c r="F248" s="2" t="s">
        <v>38</v>
      </c>
      <c r="G248" s="329" t="s">
        <v>718</v>
      </c>
      <c r="H248" s="316" t="s">
        <v>324</v>
      </c>
      <c r="I248" s="316" t="s">
        <v>625</v>
      </c>
      <c r="J248" s="209">
        <f>11256.83-13.925</f>
        <v>11242.905</v>
      </c>
      <c r="K248" s="209">
        <f>8415.50485-81.66667-13.925</f>
        <v>8319.91318</v>
      </c>
      <c r="L248" s="209">
        <v>8415.50485</v>
      </c>
      <c r="M248" s="209">
        <v>8415.50485</v>
      </c>
    </row>
    <row r="249" spans="1:13" s="68" customFormat="1" ht="35.25" customHeight="1">
      <c r="A249" s="2"/>
      <c r="B249" s="12" t="s">
        <v>208</v>
      </c>
      <c r="C249" s="2" t="s">
        <v>4</v>
      </c>
      <c r="D249" s="2" t="s">
        <v>210</v>
      </c>
      <c r="E249" s="2" t="s">
        <v>209</v>
      </c>
      <c r="F249" s="2" t="s">
        <v>38</v>
      </c>
      <c r="G249" s="332"/>
      <c r="H249" s="319"/>
      <c r="I249" s="319"/>
      <c r="J249" s="209">
        <f>2399.222+50-50+85-1233.31837</f>
        <v>1250.9036300000002</v>
      </c>
      <c r="K249" s="209">
        <f>1940.45657+50-50+85-1233.31837</f>
        <v>792.1382000000001</v>
      </c>
      <c r="L249" s="209">
        <f>1763.25853+2500</f>
        <v>4263.25853</v>
      </c>
      <c r="M249" s="209">
        <v>1763.25853</v>
      </c>
    </row>
    <row r="250" spans="1:13" s="68" customFormat="1" ht="43.5" customHeight="1">
      <c r="A250" s="2"/>
      <c r="B250" s="12" t="s">
        <v>208</v>
      </c>
      <c r="C250" s="2" t="s">
        <v>4</v>
      </c>
      <c r="D250" s="2" t="s">
        <v>210</v>
      </c>
      <c r="E250" s="2" t="s">
        <v>209</v>
      </c>
      <c r="F250" s="2" t="s">
        <v>40</v>
      </c>
      <c r="G250" s="332"/>
      <c r="H250" s="319"/>
      <c r="I250" s="319"/>
      <c r="J250" s="209">
        <v>1000</v>
      </c>
      <c r="K250" s="209">
        <v>551.9</v>
      </c>
      <c r="L250" s="209">
        <v>551.9</v>
      </c>
      <c r="M250" s="209">
        <v>551.9</v>
      </c>
    </row>
    <row r="251" spans="1:13" s="68" customFormat="1" ht="68.25" customHeight="1">
      <c r="A251" s="2"/>
      <c r="B251" s="187" t="s">
        <v>623</v>
      </c>
      <c r="C251" s="2" t="s">
        <v>4</v>
      </c>
      <c r="D251" s="2" t="s">
        <v>210</v>
      </c>
      <c r="E251" s="2" t="s">
        <v>624</v>
      </c>
      <c r="F251" s="2" t="s">
        <v>38</v>
      </c>
      <c r="G251" s="338"/>
      <c r="H251" s="320"/>
      <c r="I251" s="320"/>
      <c r="J251" s="209">
        <v>1510.9</v>
      </c>
      <c r="K251" s="209">
        <v>0</v>
      </c>
      <c r="L251" s="209">
        <v>0</v>
      </c>
      <c r="M251" s="209">
        <v>0</v>
      </c>
    </row>
    <row r="252" spans="1:13" s="68" customFormat="1" ht="93.75" customHeight="1">
      <c r="A252" s="2"/>
      <c r="B252" s="187" t="s">
        <v>835</v>
      </c>
      <c r="C252" s="2" t="s">
        <v>4</v>
      </c>
      <c r="D252" s="2" t="s">
        <v>210</v>
      </c>
      <c r="E252" s="10" t="s">
        <v>836</v>
      </c>
      <c r="F252" s="2" t="s">
        <v>38</v>
      </c>
      <c r="G252" s="129" t="s">
        <v>837</v>
      </c>
      <c r="H252" s="105" t="s">
        <v>281</v>
      </c>
      <c r="I252" s="2" t="s">
        <v>838</v>
      </c>
      <c r="J252" s="209">
        <f>81.66667+245</f>
        <v>326.66667</v>
      </c>
      <c r="K252" s="209">
        <f>81.66667-0.00082+245</f>
        <v>326.66585</v>
      </c>
      <c r="L252" s="209">
        <v>0</v>
      </c>
      <c r="M252" s="209">
        <v>0</v>
      </c>
    </row>
    <row r="253" spans="1:13" s="68" customFormat="1" ht="45" customHeight="1">
      <c r="A253" s="2"/>
      <c r="B253" s="57" t="s">
        <v>211</v>
      </c>
      <c r="C253" s="2"/>
      <c r="D253" s="2"/>
      <c r="E253" s="2" t="s">
        <v>212</v>
      </c>
      <c r="F253" s="2"/>
      <c r="G253" s="9"/>
      <c r="H253" s="4"/>
      <c r="I253" s="5"/>
      <c r="J253" s="209">
        <f>J254+J256+J255</f>
        <v>11289.97927</v>
      </c>
      <c r="K253" s="209">
        <f>K254+K256+K255</f>
        <v>11289.97927</v>
      </c>
      <c r="L253" s="209">
        <f>L254+L256+L255</f>
        <v>15043.531639999997</v>
      </c>
      <c r="M253" s="209">
        <f>M254+M256+M255</f>
        <v>11678.85</v>
      </c>
    </row>
    <row r="254" spans="1:13" s="68" customFormat="1" ht="32.25" customHeight="1">
      <c r="A254" s="2"/>
      <c r="B254" s="57" t="s">
        <v>213</v>
      </c>
      <c r="C254" s="2" t="s">
        <v>4</v>
      </c>
      <c r="D254" s="2" t="s">
        <v>210</v>
      </c>
      <c r="E254" s="2" t="s">
        <v>308</v>
      </c>
      <c r="F254" s="2" t="s">
        <v>38</v>
      </c>
      <c r="G254" s="314" t="s">
        <v>746</v>
      </c>
      <c r="H254" s="317" t="s">
        <v>434</v>
      </c>
      <c r="I254" s="345" t="s">
        <v>549</v>
      </c>
      <c r="J254" s="209">
        <f>400.29234-13.62561</f>
        <v>386.66673000000003</v>
      </c>
      <c r="K254" s="209">
        <f>400.29234-13.62561</f>
        <v>386.66673000000003</v>
      </c>
      <c r="L254" s="209">
        <f>420.94918+0.00936</f>
        <v>420.95854</v>
      </c>
      <c r="M254" s="209">
        <v>0</v>
      </c>
    </row>
    <row r="255" spans="1:13" s="68" customFormat="1" ht="69.75" customHeight="1">
      <c r="A255" s="2"/>
      <c r="B255" s="57" t="s">
        <v>491</v>
      </c>
      <c r="C255" s="2" t="s">
        <v>4</v>
      </c>
      <c r="D255" s="2" t="s">
        <v>210</v>
      </c>
      <c r="E255" s="2" t="s">
        <v>492</v>
      </c>
      <c r="F255" s="2" t="s">
        <v>38</v>
      </c>
      <c r="G255" s="386"/>
      <c r="H255" s="347"/>
      <c r="I255" s="365"/>
      <c r="J255" s="209">
        <v>392.35188</v>
      </c>
      <c r="K255" s="209">
        <v>392.35188</v>
      </c>
      <c r="L255" s="209">
        <v>4111.61244</v>
      </c>
      <c r="M255" s="209">
        <v>0</v>
      </c>
    </row>
    <row r="256" spans="1:13" s="68" customFormat="1" ht="60" customHeight="1">
      <c r="A256" s="2"/>
      <c r="B256" s="57" t="s">
        <v>310</v>
      </c>
      <c r="C256" s="2" t="s">
        <v>4</v>
      </c>
      <c r="D256" s="2" t="s">
        <v>210</v>
      </c>
      <c r="E256" s="2" t="s">
        <v>309</v>
      </c>
      <c r="F256" s="2" t="s">
        <v>38</v>
      </c>
      <c r="G256" s="359"/>
      <c r="H256" s="318"/>
      <c r="I256" s="346"/>
      <c r="J256" s="209">
        <f>10510.96459-0.00393</f>
        <v>10510.960659999999</v>
      </c>
      <c r="K256" s="209">
        <f>10510.96459-0.00393</f>
        <v>10510.960659999999</v>
      </c>
      <c r="L256" s="209">
        <f>10510.96459-0.00393</f>
        <v>10510.960659999999</v>
      </c>
      <c r="M256" s="313">
        <v>11678.85</v>
      </c>
    </row>
    <row r="257" spans="1:13" s="68" customFormat="1" ht="45" customHeight="1">
      <c r="A257" s="2"/>
      <c r="B257" s="57" t="s">
        <v>412</v>
      </c>
      <c r="C257" s="2"/>
      <c r="D257" s="2"/>
      <c r="E257" s="106" t="s">
        <v>411</v>
      </c>
      <c r="F257" s="2"/>
      <c r="G257" s="124"/>
      <c r="H257" s="100"/>
      <c r="I257" s="106"/>
      <c r="J257" s="209">
        <f>J258</f>
        <v>7866.5744</v>
      </c>
      <c r="K257" s="209">
        <f>K258</f>
        <v>7866.5744</v>
      </c>
      <c r="L257" s="209">
        <f>L258</f>
        <v>656.5</v>
      </c>
      <c r="M257" s="209">
        <f>M258</f>
        <v>656.5</v>
      </c>
    </row>
    <row r="258" spans="1:13" s="68" customFormat="1" ht="60" customHeight="1">
      <c r="A258" s="2"/>
      <c r="B258" s="57" t="s">
        <v>409</v>
      </c>
      <c r="C258" s="2"/>
      <c r="D258" s="2"/>
      <c r="E258" s="2" t="s">
        <v>410</v>
      </c>
      <c r="F258" s="2"/>
      <c r="G258" s="124"/>
      <c r="H258" s="100"/>
      <c r="I258" s="106"/>
      <c r="J258" s="209">
        <f>J261+J262+J263+J259+J260</f>
        <v>7866.5744</v>
      </c>
      <c r="K258" s="209">
        <f>K261+K262+K263+K259+K260</f>
        <v>7866.5744</v>
      </c>
      <c r="L258" s="209">
        <f>L261+L262+L263+L259+L260</f>
        <v>656.5</v>
      </c>
      <c r="M258" s="209">
        <f>M261+M262+M263+M259+M260</f>
        <v>656.5</v>
      </c>
    </row>
    <row r="259" spans="1:13" s="68" customFormat="1" ht="34.5" customHeight="1">
      <c r="A259" s="2"/>
      <c r="B259" s="373" t="s">
        <v>574</v>
      </c>
      <c r="C259" s="2" t="s">
        <v>367</v>
      </c>
      <c r="D259" s="2" t="s">
        <v>210</v>
      </c>
      <c r="E259" s="2" t="s">
        <v>573</v>
      </c>
      <c r="F259" s="2" t="s">
        <v>38</v>
      </c>
      <c r="G259" s="314" t="s">
        <v>893</v>
      </c>
      <c r="H259" s="317" t="s">
        <v>550</v>
      </c>
      <c r="I259" s="316" t="s">
        <v>534</v>
      </c>
      <c r="J259" s="209">
        <f>831-799.13724-31.86276</f>
        <v>0</v>
      </c>
      <c r="K259" s="209">
        <f>831-799.13724-31.86276</f>
        <v>0</v>
      </c>
      <c r="L259" s="209">
        <v>0</v>
      </c>
      <c r="M259" s="209">
        <v>0</v>
      </c>
    </row>
    <row r="260" spans="1:13" s="68" customFormat="1" ht="22.5" customHeight="1">
      <c r="A260" s="2"/>
      <c r="B260" s="374"/>
      <c r="C260" s="2" t="s">
        <v>4</v>
      </c>
      <c r="D260" s="2" t="s">
        <v>210</v>
      </c>
      <c r="E260" s="2" t="s">
        <v>573</v>
      </c>
      <c r="F260" s="2" t="s">
        <v>38</v>
      </c>
      <c r="G260" s="386"/>
      <c r="H260" s="347"/>
      <c r="I260" s="319"/>
      <c r="J260" s="209">
        <f>1642.42475+6079.84965</f>
        <v>7722.2744</v>
      </c>
      <c r="K260" s="209">
        <f>1642.42475+6079.84965</f>
        <v>7722.2744</v>
      </c>
      <c r="L260" s="209">
        <v>0</v>
      </c>
      <c r="M260" s="209">
        <v>0</v>
      </c>
    </row>
    <row r="261" spans="1:13" s="68" customFormat="1" ht="34.5" customHeight="1">
      <c r="A261" s="2"/>
      <c r="B261" s="57" t="s">
        <v>413</v>
      </c>
      <c r="C261" s="2" t="s">
        <v>367</v>
      </c>
      <c r="D261" s="2" t="s">
        <v>210</v>
      </c>
      <c r="E261" s="2" t="s">
        <v>416</v>
      </c>
      <c r="F261" s="2" t="s">
        <v>38</v>
      </c>
      <c r="G261" s="330"/>
      <c r="H261" s="330"/>
      <c r="I261" s="330"/>
      <c r="J261" s="209">
        <v>0</v>
      </c>
      <c r="K261" s="209">
        <v>0</v>
      </c>
      <c r="L261" s="209">
        <v>2.2</v>
      </c>
      <c r="M261" s="212">
        <v>2.2</v>
      </c>
    </row>
    <row r="262" spans="1:13" s="68" customFormat="1" ht="34.5" customHeight="1">
      <c r="A262" s="2"/>
      <c r="B262" s="57" t="s">
        <v>414</v>
      </c>
      <c r="C262" s="2" t="s">
        <v>367</v>
      </c>
      <c r="D262" s="2" t="s">
        <v>210</v>
      </c>
      <c r="E262" s="2" t="s">
        <v>417</v>
      </c>
      <c r="F262" s="2" t="s">
        <v>40</v>
      </c>
      <c r="G262" s="330"/>
      <c r="H262" s="330"/>
      <c r="I262" s="330"/>
      <c r="J262" s="209">
        <f>500-500</f>
        <v>0</v>
      </c>
      <c r="K262" s="209">
        <f>500-500</f>
        <v>0</v>
      </c>
      <c r="L262" s="209">
        <v>500</v>
      </c>
      <c r="M262" s="209">
        <v>500</v>
      </c>
    </row>
    <row r="263" spans="1:13" s="68" customFormat="1" ht="34.5" customHeight="1">
      <c r="A263" s="2"/>
      <c r="B263" s="57" t="s">
        <v>415</v>
      </c>
      <c r="C263" s="2" t="s">
        <v>367</v>
      </c>
      <c r="D263" s="2" t="s">
        <v>210</v>
      </c>
      <c r="E263" s="2" t="s">
        <v>418</v>
      </c>
      <c r="F263" s="2" t="s">
        <v>40</v>
      </c>
      <c r="G263" s="315"/>
      <c r="H263" s="315"/>
      <c r="I263" s="315"/>
      <c r="J263" s="209">
        <v>144.3</v>
      </c>
      <c r="K263" s="209">
        <v>144.3</v>
      </c>
      <c r="L263" s="209">
        <v>154.3</v>
      </c>
      <c r="M263" s="209">
        <v>154.3</v>
      </c>
    </row>
    <row r="264" spans="1:13" s="68" customFormat="1" ht="120" customHeight="1">
      <c r="A264" s="78" t="s">
        <v>199</v>
      </c>
      <c r="B264" s="86" t="s">
        <v>203</v>
      </c>
      <c r="C264" s="86"/>
      <c r="D264" s="86"/>
      <c r="E264" s="86"/>
      <c r="F264" s="86"/>
      <c r="G264" s="86"/>
      <c r="H264" s="86"/>
      <c r="I264" s="86"/>
      <c r="J264" s="208">
        <f>J265+J268</f>
        <v>8878.83609</v>
      </c>
      <c r="K264" s="208">
        <f>K265+K268</f>
        <v>6433.43309</v>
      </c>
      <c r="L264" s="208">
        <f>L265+L268</f>
        <v>2975.87046</v>
      </c>
      <c r="M264" s="208">
        <f>M265+M268</f>
        <v>7050.78456</v>
      </c>
    </row>
    <row r="265" spans="1:13" s="68" customFormat="1" ht="33.75" customHeight="1">
      <c r="A265" s="2"/>
      <c r="B265" s="57" t="s">
        <v>204</v>
      </c>
      <c r="C265" s="2"/>
      <c r="D265" s="2"/>
      <c r="E265" s="2" t="s">
        <v>205</v>
      </c>
      <c r="F265" s="57"/>
      <c r="G265" s="57"/>
      <c r="H265" s="57"/>
      <c r="I265" s="57"/>
      <c r="J265" s="209">
        <f>J266+J267</f>
        <v>5582.00218</v>
      </c>
      <c r="K265" s="209">
        <f>K266+K267</f>
        <v>3136.59918</v>
      </c>
      <c r="L265" s="209">
        <f>L266+L267</f>
        <v>2975.87046</v>
      </c>
      <c r="M265" s="209">
        <f>M266+M267</f>
        <v>2997.56747</v>
      </c>
    </row>
    <row r="266" spans="1:13" s="68" customFormat="1" ht="39.75" customHeight="1">
      <c r="A266" s="2"/>
      <c r="B266" s="57" t="s">
        <v>206</v>
      </c>
      <c r="C266" s="2" t="s">
        <v>4</v>
      </c>
      <c r="D266" s="2" t="s">
        <v>210</v>
      </c>
      <c r="E266" s="2" t="s">
        <v>207</v>
      </c>
      <c r="F266" s="2" t="s">
        <v>38</v>
      </c>
      <c r="G266" s="314" t="s">
        <v>551</v>
      </c>
      <c r="H266" s="317" t="s">
        <v>445</v>
      </c>
      <c r="I266" s="345" t="s">
        <v>444</v>
      </c>
      <c r="J266" s="209">
        <v>4945.403</v>
      </c>
      <c r="K266" s="209">
        <v>2500</v>
      </c>
      <c r="L266" s="209">
        <v>2500</v>
      </c>
      <c r="M266" s="209">
        <v>2500</v>
      </c>
    </row>
    <row r="267" spans="1:13" s="68" customFormat="1" ht="54" customHeight="1">
      <c r="A267" s="2"/>
      <c r="B267" s="90" t="s">
        <v>311</v>
      </c>
      <c r="C267" s="2" t="s">
        <v>4</v>
      </c>
      <c r="D267" s="2" t="s">
        <v>210</v>
      </c>
      <c r="E267" s="2" t="s">
        <v>533</v>
      </c>
      <c r="F267" s="2" t="s">
        <v>38</v>
      </c>
      <c r="G267" s="359"/>
      <c r="H267" s="318"/>
      <c r="I267" s="346"/>
      <c r="J267" s="209">
        <f>636.59918</f>
        <v>636.59918</v>
      </c>
      <c r="K267" s="209">
        <f>636.59918</f>
        <v>636.59918</v>
      </c>
      <c r="L267" s="209">
        <v>475.87046</v>
      </c>
      <c r="M267" s="212">
        <v>497.56747</v>
      </c>
    </row>
    <row r="268" spans="1:13" s="68" customFormat="1" ht="33.75" customHeight="1">
      <c r="A268" s="2"/>
      <c r="B268" s="57" t="s">
        <v>211</v>
      </c>
      <c r="C268" s="2"/>
      <c r="D268" s="2"/>
      <c r="E268" s="2" t="s">
        <v>212</v>
      </c>
      <c r="F268" s="2"/>
      <c r="G268" s="9"/>
      <c r="H268" s="4"/>
      <c r="I268" s="5"/>
      <c r="J268" s="209">
        <f>J269</f>
        <v>3296.83391</v>
      </c>
      <c r="K268" s="209">
        <f>K269</f>
        <v>3296.83391</v>
      </c>
      <c r="L268" s="209">
        <f>L269</f>
        <v>0</v>
      </c>
      <c r="M268" s="209">
        <f>M269</f>
        <v>4053.21709</v>
      </c>
    </row>
    <row r="269" spans="1:13" s="68" customFormat="1" ht="104.25" customHeight="1">
      <c r="A269" s="2"/>
      <c r="B269" s="57" t="s">
        <v>513</v>
      </c>
      <c r="C269" s="2" t="s">
        <v>4</v>
      </c>
      <c r="D269" s="2" t="s">
        <v>210</v>
      </c>
      <c r="E269" s="2" t="s">
        <v>514</v>
      </c>
      <c r="F269" s="2" t="s">
        <v>40</v>
      </c>
      <c r="G269" s="98" t="s">
        <v>745</v>
      </c>
      <c r="H269" s="107" t="s">
        <v>434</v>
      </c>
      <c r="I269" s="96" t="s">
        <v>549</v>
      </c>
      <c r="J269" s="209">
        <v>3296.83391</v>
      </c>
      <c r="K269" s="209">
        <v>3296.83391</v>
      </c>
      <c r="L269" s="209">
        <f>4111.61787-4111.61787</f>
        <v>0</v>
      </c>
      <c r="M269" s="209">
        <f>4053.21709</f>
        <v>4053.21709</v>
      </c>
    </row>
    <row r="270" spans="1:13" s="68" customFormat="1" ht="373.5" customHeight="1">
      <c r="A270" s="78" t="s">
        <v>484</v>
      </c>
      <c r="B270" s="86" t="s">
        <v>485</v>
      </c>
      <c r="C270" s="86"/>
      <c r="D270" s="86"/>
      <c r="E270" s="86"/>
      <c r="F270" s="86"/>
      <c r="G270" s="86"/>
      <c r="H270" s="86"/>
      <c r="I270" s="86"/>
      <c r="J270" s="208">
        <f aca="true" t="shared" si="16" ref="J270:M272">J271</f>
        <v>1233.09</v>
      </c>
      <c r="K270" s="208">
        <f t="shared" si="16"/>
        <v>1233.09</v>
      </c>
      <c r="L270" s="208">
        <f t="shared" si="16"/>
        <v>0</v>
      </c>
      <c r="M270" s="208">
        <f t="shared" si="16"/>
        <v>0</v>
      </c>
    </row>
    <row r="271" spans="1:13" s="26" customFormat="1" ht="45" customHeight="1">
      <c r="A271" s="2"/>
      <c r="B271" s="7" t="s">
        <v>486</v>
      </c>
      <c r="C271" s="57"/>
      <c r="D271" s="57"/>
      <c r="E271" s="57"/>
      <c r="F271" s="57"/>
      <c r="G271" s="109"/>
      <c r="H271" s="57"/>
      <c r="I271" s="57"/>
      <c r="J271" s="209">
        <f t="shared" si="16"/>
        <v>1233.09</v>
      </c>
      <c r="K271" s="209">
        <f t="shared" si="16"/>
        <v>1233.09</v>
      </c>
      <c r="L271" s="209">
        <f t="shared" si="16"/>
        <v>0</v>
      </c>
      <c r="M271" s="209">
        <f t="shared" si="16"/>
        <v>0</v>
      </c>
    </row>
    <row r="272" spans="1:13" s="26" customFormat="1" ht="45" customHeight="1">
      <c r="A272" s="2"/>
      <c r="B272" s="7" t="s">
        <v>487</v>
      </c>
      <c r="C272" s="57"/>
      <c r="D272" s="57"/>
      <c r="E272" s="2" t="s">
        <v>517</v>
      </c>
      <c r="F272" s="57"/>
      <c r="G272" s="109"/>
      <c r="H272" s="57"/>
      <c r="I272" s="57"/>
      <c r="J272" s="209">
        <f>J273</f>
        <v>1233.09</v>
      </c>
      <c r="K272" s="209">
        <f t="shared" si="16"/>
        <v>1233.09</v>
      </c>
      <c r="L272" s="209">
        <f t="shared" si="16"/>
        <v>0</v>
      </c>
      <c r="M272" s="209">
        <f t="shared" si="16"/>
        <v>0</v>
      </c>
    </row>
    <row r="273" spans="1:13" s="26" customFormat="1" ht="54.75" customHeight="1">
      <c r="A273" s="2"/>
      <c r="B273" s="7" t="s">
        <v>516</v>
      </c>
      <c r="C273" s="2" t="s">
        <v>419</v>
      </c>
      <c r="D273" s="2" t="s">
        <v>8</v>
      </c>
      <c r="E273" s="2" t="s">
        <v>515</v>
      </c>
      <c r="F273" s="2" t="s">
        <v>38</v>
      </c>
      <c r="G273" s="129" t="s">
        <v>518</v>
      </c>
      <c r="H273" s="2" t="s">
        <v>519</v>
      </c>
      <c r="I273" s="57" t="s">
        <v>169</v>
      </c>
      <c r="J273" s="209">
        <f>692.33+100+300+100+40.76</f>
        <v>1233.09</v>
      </c>
      <c r="K273" s="209">
        <f>692.33+100+300+100+40.76</f>
        <v>1233.09</v>
      </c>
      <c r="L273" s="209">
        <v>0</v>
      </c>
      <c r="M273" s="209">
        <v>0</v>
      </c>
    </row>
    <row r="274" spans="1:63" s="59" customFormat="1" ht="165" customHeight="1">
      <c r="A274" s="78" t="s">
        <v>156</v>
      </c>
      <c r="B274" s="82" t="s">
        <v>155</v>
      </c>
      <c r="C274" s="86"/>
      <c r="D274" s="78"/>
      <c r="E274" s="86"/>
      <c r="F274" s="86"/>
      <c r="G274" s="84"/>
      <c r="H274" s="85"/>
      <c r="I274" s="85"/>
      <c r="J274" s="208">
        <f>J275</f>
        <v>4649.11336</v>
      </c>
      <c r="K274" s="208">
        <f>K275</f>
        <v>4649.11336</v>
      </c>
      <c r="L274" s="208">
        <f>L275</f>
        <v>3972.4470000000006</v>
      </c>
      <c r="M274" s="208">
        <f>M275</f>
        <v>3959.847</v>
      </c>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8"/>
    </row>
    <row r="275" spans="1:62" s="24" customFormat="1" ht="45" customHeight="1">
      <c r="A275" s="2"/>
      <c r="B275" s="12" t="s">
        <v>110</v>
      </c>
      <c r="C275" s="57"/>
      <c r="D275" s="2"/>
      <c r="E275" s="2" t="s">
        <v>51</v>
      </c>
      <c r="F275" s="57"/>
      <c r="G275" s="3"/>
      <c r="H275" s="5"/>
      <c r="I275" s="5"/>
      <c r="J275" s="209">
        <f>J276+J277+J278+J279+J280</f>
        <v>4649.11336</v>
      </c>
      <c r="K275" s="209">
        <f>K276+K277+K278+K279+K280</f>
        <v>4649.11336</v>
      </c>
      <c r="L275" s="209">
        <f>L276+L277+L278+L279</f>
        <v>3972.4470000000006</v>
      </c>
      <c r="M275" s="209">
        <f>M276+M277+M278+M279</f>
        <v>3959.847</v>
      </c>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55"/>
      <c r="BJ275" s="44"/>
    </row>
    <row r="276" spans="1:13" s="26" customFormat="1" ht="59.25" customHeight="1">
      <c r="A276" s="2"/>
      <c r="B276" s="360" t="s">
        <v>391</v>
      </c>
      <c r="C276" s="2" t="s">
        <v>367</v>
      </c>
      <c r="D276" s="2" t="s">
        <v>91</v>
      </c>
      <c r="E276" s="10" t="s">
        <v>388</v>
      </c>
      <c r="F276" s="2" t="s">
        <v>170</v>
      </c>
      <c r="G276" s="350" t="s">
        <v>884</v>
      </c>
      <c r="H276" s="345" t="s">
        <v>885</v>
      </c>
      <c r="I276" s="345" t="s">
        <v>886</v>
      </c>
      <c r="J276" s="209">
        <v>3136.455</v>
      </c>
      <c r="K276" s="209">
        <v>3136.455</v>
      </c>
      <c r="L276" s="209">
        <v>3037.635</v>
      </c>
      <c r="M276" s="209">
        <v>3060.555</v>
      </c>
    </row>
    <row r="277" spans="1:13" s="26" customFormat="1" ht="46.5" customHeight="1">
      <c r="A277" s="2"/>
      <c r="B277" s="418"/>
      <c r="C277" s="2" t="s">
        <v>367</v>
      </c>
      <c r="D277" s="2" t="s">
        <v>91</v>
      </c>
      <c r="E277" s="10" t="s">
        <v>388</v>
      </c>
      <c r="F277" s="2" t="s">
        <v>38</v>
      </c>
      <c r="G277" s="363"/>
      <c r="H277" s="363"/>
      <c r="I277" s="363"/>
      <c r="J277" s="209">
        <v>225.42</v>
      </c>
      <c r="K277" s="209">
        <v>225.42</v>
      </c>
      <c r="L277" s="209">
        <v>228.092</v>
      </c>
      <c r="M277" s="209">
        <v>228.092</v>
      </c>
    </row>
    <row r="278" spans="1:13" ht="33" customHeight="1">
      <c r="A278" s="2"/>
      <c r="B278" s="321" t="s">
        <v>402</v>
      </c>
      <c r="C278" s="2" t="s">
        <v>367</v>
      </c>
      <c r="D278" s="2" t="s">
        <v>91</v>
      </c>
      <c r="E278" s="133" t="s">
        <v>401</v>
      </c>
      <c r="F278" s="2" t="s">
        <v>38</v>
      </c>
      <c r="G278" s="314" t="s">
        <v>708</v>
      </c>
      <c r="H278" s="345" t="s">
        <v>44</v>
      </c>
      <c r="I278" s="317" t="s">
        <v>704</v>
      </c>
      <c r="J278" s="209">
        <f>371.62-7.2-10</f>
        <v>354.42</v>
      </c>
      <c r="K278" s="209">
        <f>371.62-7.2-10</f>
        <v>354.42</v>
      </c>
      <c r="L278" s="209">
        <f>371.62-7.2</f>
        <v>364.42</v>
      </c>
      <c r="M278" s="209">
        <f>336.1-7.2</f>
        <v>328.90000000000003</v>
      </c>
    </row>
    <row r="279" spans="1:13" ht="33" customHeight="1">
      <c r="A279" s="2"/>
      <c r="B279" s="322"/>
      <c r="C279" s="106" t="s">
        <v>369</v>
      </c>
      <c r="D279" s="106" t="s">
        <v>91</v>
      </c>
      <c r="E279" s="133" t="s">
        <v>401</v>
      </c>
      <c r="F279" s="106" t="s">
        <v>42</v>
      </c>
      <c r="G279" s="386"/>
      <c r="H279" s="365"/>
      <c r="I279" s="347"/>
      <c r="J279" s="209">
        <v>338.91622</v>
      </c>
      <c r="K279" s="209">
        <v>338.91622</v>
      </c>
      <c r="L279" s="209">
        <f>335.1+7.2</f>
        <v>342.3</v>
      </c>
      <c r="M279" s="209">
        <f>335.1+7.2</f>
        <v>342.3</v>
      </c>
    </row>
    <row r="280" spans="1:13" ht="44.25" customHeight="1">
      <c r="A280" s="2"/>
      <c r="B280" s="99" t="s">
        <v>587</v>
      </c>
      <c r="C280" s="227" t="s">
        <v>369</v>
      </c>
      <c r="D280" s="227" t="s">
        <v>91</v>
      </c>
      <c r="E280" s="133" t="s">
        <v>404</v>
      </c>
      <c r="F280" s="227" t="s">
        <v>38</v>
      </c>
      <c r="G280" s="359"/>
      <c r="H280" s="346"/>
      <c r="I280" s="318"/>
      <c r="J280" s="209">
        <f>600-6.09786</f>
        <v>593.90214</v>
      </c>
      <c r="K280" s="209">
        <f>600-6.09786</f>
        <v>593.90214</v>
      </c>
      <c r="L280" s="209">
        <v>0</v>
      </c>
      <c r="M280" s="209">
        <v>0</v>
      </c>
    </row>
    <row r="281" spans="1:13" ht="60" customHeight="1">
      <c r="A281" s="78" t="s">
        <v>385</v>
      </c>
      <c r="B281" s="86" t="s">
        <v>386</v>
      </c>
      <c r="C281" s="86"/>
      <c r="D281" s="86"/>
      <c r="E281" s="86"/>
      <c r="F281" s="86"/>
      <c r="G281" s="86"/>
      <c r="H281" s="86"/>
      <c r="I281" s="86"/>
      <c r="J281" s="208">
        <f>J282</f>
        <v>1121.3080000000002</v>
      </c>
      <c r="K281" s="208">
        <f>K282</f>
        <v>1121.3080000000002</v>
      </c>
      <c r="L281" s="208">
        <f>L282</f>
        <v>1525.7953200000002</v>
      </c>
      <c r="M281" s="208">
        <f>M282</f>
        <v>1498.663</v>
      </c>
    </row>
    <row r="282" spans="1:13" ht="45" customHeight="1">
      <c r="A282" s="2"/>
      <c r="B282" s="12" t="s">
        <v>110</v>
      </c>
      <c r="C282" s="2"/>
      <c r="D282" s="2"/>
      <c r="E282" s="2" t="s">
        <v>51</v>
      </c>
      <c r="F282" s="2"/>
      <c r="G282" s="124"/>
      <c r="H282" s="125"/>
      <c r="I282" s="100"/>
      <c r="J282" s="209">
        <f>J283+J284+J285</f>
        <v>1121.3080000000002</v>
      </c>
      <c r="K282" s="209">
        <f>K283+K284+K285</f>
        <v>1121.3080000000002</v>
      </c>
      <c r="L282" s="209">
        <f>L283+L284+L285</f>
        <v>1525.7953200000002</v>
      </c>
      <c r="M282" s="209">
        <f>M283+M284+M285</f>
        <v>1498.663</v>
      </c>
    </row>
    <row r="283" spans="1:13" ht="33.75" customHeight="1">
      <c r="A283" s="2"/>
      <c r="B283" s="321" t="s">
        <v>387</v>
      </c>
      <c r="C283" s="2" t="s">
        <v>367</v>
      </c>
      <c r="D283" s="2" t="s">
        <v>91</v>
      </c>
      <c r="E283" s="10" t="s">
        <v>388</v>
      </c>
      <c r="F283" s="2" t="s">
        <v>170</v>
      </c>
      <c r="G283" s="314" t="s">
        <v>887</v>
      </c>
      <c r="H283" s="345" t="s">
        <v>590</v>
      </c>
      <c r="I283" s="317" t="s">
        <v>888</v>
      </c>
      <c r="J283" s="209">
        <f>934.642+84.25</f>
        <v>1018.892</v>
      </c>
      <c r="K283" s="209">
        <f>934.642+84.25</f>
        <v>1018.892</v>
      </c>
      <c r="L283" s="209">
        <v>1392.226</v>
      </c>
      <c r="M283" s="209">
        <v>1417.676</v>
      </c>
    </row>
    <row r="284" spans="1:13" ht="50.25" customHeight="1">
      <c r="A284" s="2"/>
      <c r="B284" s="375"/>
      <c r="C284" s="2" t="s">
        <v>367</v>
      </c>
      <c r="D284" s="2" t="s">
        <v>91</v>
      </c>
      <c r="E284" s="10" t="s">
        <v>388</v>
      </c>
      <c r="F284" s="2" t="s">
        <v>38</v>
      </c>
      <c r="G284" s="362"/>
      <c r="H284" s="362"/>
      <c r="I284" s="362"/>
      <c r="J284" s="209">
        <v>98.891</v>
      </c>
      <c r="K284" s="209">
        <v>98.891</v>
      </c>
      <c r="L284" s="209">
        <v>130.04432</v>
      </c>
      <c r="M284" s="209">
        <v>77.462</v>
      </c>
    </row>
    <row r="285" spans="1:13" ht="33.75" customHeight="1">
      <c r="A285" s="2"/>
      <c r="B285" s="322"/>
      <c r="C285" s="2" t="s">
        <v>367</v>
      </c>
      <c r="D285" s="2" t="s">
        <v>91</v>
      </c>
      <c r="E285" s="10" t="s">
        <v>388</v>
      </c>
      <c r="F285" s="2" t="s">
        <v>39</v>
      </c>
      <c r="G285" s="363"/>
      <c r="H285" s="363"/>
      <c r="I285" s="363"/>
      <c r="J285" s="209">
        <v>3.525</v>
      </c>
      <c r="K285" s="209">
        <v>3.525</v>
      </c>
      <c r="L285" s="209">
        <v>3.525</v>
      </c>
      <c r="M285" s="209">
        <v>3.525</v>
      </c>
    </row>
    <row r="286" spans="1:13" ht="75" customHeight="1">
      <c r="A286" s="78" t="s">
        <v>294</v>
      </c>
      <c r="B286" s="116" t="s">
        <v>399</v>
      </c>
      <c r="C286" s="78"/>
      <c r="D286" s="78"/>
      <c r="E286" s="101"/>
      <c r="F286" s="78"/>
      <c r="G286" s="126"/>
      <c r="H286" s="127"/>
      <c r="I286" s="128"/>
      <c r="J286" s="208">
        <f aca="true" t="shared" si="17" ref="J286:M287">J287</f>
        <v>39</v>
      </c>
      <c r="K286" s="208">
        <f t="shared" si="17"/>
        <v>39</v>
      </c>
      <c r="L286" s="208">
        <f t="shared" si="17"/>
        <v>55</v>
      </c>
      <c r="M286" s="208">
        <f t="shared" si="17"/>
        <v>25</v>
      </c>
    </row>
    <row r="287" spans="1:13" ht="45" customHeight="1">
      <c r="A287" s="2"/>
      <c r="B287" s="12" t="s">
        <v>110</v>
      </c>
      <c r="C287" s="57"/>
      <c r="D287" s="2"/>
      <c r="E287" s="2" t="s">
        <v>51</v>
      </c>
      <c r="F287" s="2"/>
      <c r="G287" s="124"/>
      <c r="H287" s="125"/>
      <c r="I287" s="100"/>
      <c r="J287" s="209">
        <f>J288</f>
        <v>39</v>
      </c>
      <c r="K287" s="209">
        <f t="shared" si="17"/>
        <v>39</v>
      </c>
      <c r="L287" s="209">
        <f t="shared" si="17"/>
        <v>55</v>
      </c>
      <c r="M287" s="209">
        <f t="shared" si="17"/>
        <v>25</v>
      </c>
    </row>
    <row r="288" spans="1:13" ht="64.5" customHeight="1">
      <c r="A288" s="2"/>
      <c r="B288" s="7" t="s">
        <v>276</v>
      </c>
      <c r="C288" s="2" t="s">
        <v>367</v>
      </c>
      <c r="D288" s="2" t="s">
        <v>91</v>
      </c>
      <c r="E288" s="2" t="s">
        <v>400</v>
      </c>
      <c r="F288" s="2" t="s">
        <v>38</v>
      </c>
      <c r="G288" s="9" t="s">
        <v>707</v>
      </c>
      <c r="H288" s="2" t="s">
        <v>44</v>
      </c>
      <c r="I288" s="2" t="s">
        <v>592</v>
      </c>
      <c r="J288" s="209">
        <f>25+14</f>
        <v>39</v>
      </c>
      <c r="K288" s="209">
        <f>25+14</f>
        <v>39</v>
      </c>
      <c r="L288" s="209">
        <v>55</v>
      </c>
      <c r="M288" s="209">
        <v>25</v>
      </c>
    </row>
    <row r="289" spans="1:60" ht="45" customHeight="1">
      <c r="A289" s="78" t="s">
        <v>431</v>
      </c>
      <c r="B289" s="79" t="s">
        <v>432</v>
      </c>
      <c r="C289" s="78"/>
      <c r="D289" s="80"/>
      <c r="E289" s="80"/>
      <c r="F289" s="78"/>
      <c r="G289" s="81"/>
      <c r="H289" s="78"/>
      <c r="I289" s="78"/>
      <c r="J289" s="208">
        <f aca="true" t="shared" si="18" ref="J289:M291">J290</f>
        <v>0</v>
      </c>
      <c r="K289" s="208">
        <f t="shared" si="18"/>
        <v>0</v>
      </c>
      <c r="L289" s="208">
        <f t="shared" si="18"/>
        <v>22666.36</v>
      </c>
      <c r="M289" s="208">
        <f t="shared" si="18"/>
        <v>33972.16</v>
      </c>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row>
    <row r="290" spans="1:60" ht="51.75" customHeight="1">
      <c r="A290" s="4"/>
      <c r="B290" s="12" t="s">
        <v>110</v>
      </c>
      <c r="C290" s="57"/>
      <c r="D290" s="2"/>
      <c r="E290" s="2" t="s">
        <v>51</v>
      </c>
      <c r="F290" s="2"/>
      <c r="G290" s="72"/>
      <c r="H290" s="72"/>
      <c r="I290" s="72"/>
      <c r="J290" s="209">
        <f t="shared" si="18"/>
        <v>0</v>
      </c>
      <c r="K290" s="209">
        <f t="shared" si="18"/>
        <v>0</v>
      </c>
      <c r="L290" s="209">
        <f t="shared" si="18"/>
        <v>22666.36</v>
      </c>
      <c r="M290" s="209">
        <f t="shared" si="18"/>
        <v>33972.16</v>
      </c>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row>
    <row r="291" spans="1:60" ht="49.5" customHeight="1">
      <c r="A291" s="4"/>
      <c r="B291" s="7" t="s">
        <v>389</v>
      </c>
      <c r="C291" s="2"/>
      <c r="D291" s="2"/>
      <c r="E291" s="2" t="s">
        <v>390</v>
      </c>
      <c r="F291" s="2"/>
      <c r="G291" s="72"/>
      <c r="H291" s="72"/>
      <c r="I291" s="72"/>
      <c r="J291" s="209">
        <f>J292</f>
        <v>0</v>
      </c>
      <c r="K291" s="209">
        <f t="shared" si="18"/>
        <v>0</v>
      </c>
      <c r="L291" s="209">
        <f t="shared" si="18"/>
        <v>22666.36</v>
      </c>
      <c r="M291" s="209">
        <f t="shared" si="18"/>
        <v>33972.16</v>
      </c>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row>
    <row r="292" spans="1:60" ht="138.75" customHeight="1">
      <c r="A292" s="4"/>
      <c r="B292" s="158" t="s">
        <v>566</v>
      </c>
      <c r="C292" s="4" t="s">
        <v>4</v>
      </c>
      <c r="D292" s="2" t="s">
        <v>433</v>
      </c>
      <c r="E292" s="2" t="s">
        <v>567</v>
      </c>
      <c r="F292" s="2" t="s">
        <v>38</v>
      </c>
      <c r="G292" s="9" t="s">
        <v>709</v>
      </c>
      <c r="H292" s="2" t="s">
        <v>434</v>
      </c>
      <c r="I292" s="2" t="s">
        <v>705</v>
      </c>
      <c r="J292" s="209">
        <v>0</v>
      </c>
      <c r="K292" s="209">
        <v>0</v>
      </c>
      <c r="L292" s="209">
        <f>23114.86-448.5</f>
        <v>22666.36</v>
      </c>
      <c r="M292" s="209">
        <f>33523.66+448.5</f>
        <v>33972.16</v>
      </c>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row>
    <row r="293" spans="1:60" ht="45" customHeight="1">
      <c r="A293" s="78" t="s">
        <v>158</v>
      </c>
      <c r="B293" s="79" t="s">
        <v>157</v>
      </c>
      <c r="C293" s="78"/>
      <c r="D293" s="80"/>
      <c r="E293" s="80"/>
      <c r="F293" s="78"/>
      <c r="G293" s="81"/>
      <c r="H293" s="78"/>
      <c r="I293" s="78"/>
      <c r="J293" s="208">
        <f aca="true" t="shared" si="19" ref="J293:M294">J294</f>
        <v>425</v>
      </c>
      <c r="K293" s="208">
        <f t="shared" si="19"/>
        <v>425</v>
      </c>
      <c r="L293" s="208">
        <f t="shared" si="19"/>
        <v>589</v>
      </c>
      <c r="M293" s="208">
        <f t="shared" si="19"/>
        <v>589</v>
      </c>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row>
    <row r="294" spans="1:60" ht="33.75" customHeight="1">
      <c r="A294" s="4"/>
      <c r="B294" s="12" t="s">
        <v>215</v>
      </c>
      <c r="C294" s="2"/>
      <c r="D294" s="2"/>
      <c r="E294" s="2" t="s">
        <v>59</v>
      </c>
      <c r="F294" s="2"/>
      <c r="G294" s="72"/>
      <c r="H294" s="72"/>
      <c r="I294" s="72"/>
      <c r="J294" s="209">
        <f t="shared" si="19"/>
        <v>425</v>
      </c>
      <c r="K294" s="209">
        <f t="shared" si="19"/>
        <v>425</v>
      </c>
      <c r="L294" s="209">
        <f t="shared" si="19"/>
        <v>589</v>
      </c>
      <c r="M294" s="209">
        <f t="shared" si="19"/>
        <v>589</v>
      </c>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row>
    <row r="295" spans="1:60" ht="19.5" customHeight="1">
      <c r="A295" s="4"/>
      <c r="B295" s="12" t="s">
        <v>218</v>
      </c>
      <c r="C295" s="2"/>
      <c r="D295" s="2"/>
      <c r="E295" s="2" t="s">
        <v>219</v>
      </c>
      <c r="F295" s="2"/>
      <c r="G295" s="72"/>
      <c r="H295" s="72"/>
      <c r="I295" s="72"/>
      <c r="J295" s="209">
        <f>J296+J297+J298</f>
        <v>425</v>
      </c>
      <c r="K295" s="209">
        <f>K296+K297+K298</f>
        <v>425</v>
      </c>
      <c r="L295" s="209">
        <f>L296+L297+L298</f>
        <v>589</v>
      </c>
      <c r="M295" s="209">
        <f>M296+M297+M298</f>
        <v>589</v>
      </c>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row>
    <row r="296" spans="1:60" ht="21" customHeight="1">
      <c r="A296" s="4"/>
      <c r="B296" s="24" t="s">
        <v>66</v>
      </c>
      <c r="C296" s="4" t="s">
        <v>419</v>
      </c>
      <c r="D296" s="2" t="s">
        <v>41</v>
      </c>
      <c r="E296" s="10" t="s">
        <v>380</v>
      </c>
      <c r="F296" s="2" t="s">
        <v>38</v>
      </c>
      <c r="G296" s="314" t="s">
        <v>853</v>
      </c>
      <c r="H296" s="316" t="s">
        <v>795</v>
      </c>
      <c r="I296" s="317" t="s">
        <v>734</v>
      </c>
      <c r="J296" s="209">
        <f>150-150</f>
        <v>0</v>
      </c>
      <c r="K296" s="209">
        <f>150-150</f>
        <v>0</v>
      </c>
      <c r="L296" s="209">
        <v>150</v>
      </c>
      <c r="M296" s="209">
        <v>150</v>
      </c>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row>
    <row r="297" spans="1:60" ht="21.75" customHeight="1">
      <c r="A297" s="317"/>
      <c r="B297" s="321" t="s">
        <v>88</v>
      </c>
      <c r="C297" s="4" t="s">
        <v>419</v>
      </c>
      <c r="D297" s="1" t="s">
        <v>41</v>
      </c>
      <c r="E297" s="1" t="s">
        <v>845</v>
      </c>
      <c r="F297" s="2" t="s">
        <v>38</v>
      </c>
      <c r="G297" s="386"/>
      <c r="H297" s="319"/>
      <c r="I297" s="347"/>
      <c r="J297" s="209">
        <f>439+38-77-8-52</f>
        <v>340</v>
      </c>
      <c r="K297" s="209">
        <f>439+38-77-8-52</f>
        <v>340</v>
      </c>
      <c r="L297" s="209">
        <v>439</v>
      </c>
      <c r="M297" s="209">
        <v>439</v>
      </c>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row>
    <row r="298" spans="1:60" ht="57" customHeight="1">
      <c r="A298" s="318"/>
      <c r="B298" s="322"/>
      <c r="C298" s="2" t="s">
        <v>369</v>
      </c>
      <c r="D298" s="1" t="s">
        <v>41</v>
      </c>
      <c r="E298" s="1" t="s">
        <v>845</v>
      </c>
      <c r="F298" s="2" t="s">
        <v>42</v>
      </c>
      <c r="G298" s="359"/>
      <c r="H298" s="320"/>
      <c r="I298" s="318"/>
      <c r="J298" s="209">
        <f>77+8</f>
        <v>85</v>
      </c>
      <c r="K298" s="209">
        <f>77+8</f>
        <v>85</v>
      </c>
      <c r="L298" s="209">
        <v>0</v>
      </c>
      <c r="M298" s="209">
        <v>0</v>
      </c>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row>
    <row r="299" spans="1:60" ht="30" customHeight="1">
      <c r="A299" s="78" t="s">
        <v>160</v>
      </c>
      <c r="B299" s="79" t="s">
        <v>159</v>
      </c>
      <c r="C299" s="78"/>
      <c r="D299" s="80"/>
      <c r="E299" s="80"/>
      <c r="F299" s="78"/>
      <c r="G299" s="81"/>
      <c r="H299" s="78"/>
      <c r="I299" s="78"/>
      <c r="J299" s="208">
        <f aca="true" t="shared" si="20" ref="J299:M300">J300</f>
        <v>159.24</v>
      </c>
      <c r="K299" s="208">
        <f t="shared" si="20"/>
        <v>159.24</v>
      </c>
      <c r="L299" s="208">
        <f t="shared" si="20"/>
        <v>200</v>
      </c>
      <c r="M299" s="208">
        <f t="shared" si="20"/>
        <v>200</v>
      </c>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row>
    <row r="300" spans="1:60" ht="30" customHeight="1">
      <c r="A300" s="2"/>
      <c r="B300" s="12" t="s">
        <v>215</v>
      </c>
      <c r="C300" s="2"/>
      <c r="D300" s="2"/>
      <c r="E300" s="2" t="s">
        <v>59</v>
      </c>
      <c r="F300" s="2"/>
      <c r="G300" s="27"/>
      <c r="H300" s="2"/>
      <c r="I300" s="2"/>
      <c r="J300" s="209">
        <f t="shared" si="20"/>
        <v>159.24</v>
      </c>
      <c r="K300" s="209">
        <f t="shared" si="20"/>
        <v>159.24</v>
      </c>
      <c r="L300" s="209">
        <f t="shared" si="20"/>
        <v>200</v>
      </c>
      <c r="M300" s="209">
        <f t="shared" si="20"/>
        <v>200</v>
      </c>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row>
    <row r="301" spans="1:60" ht="35.25" customHeight="1">
      <c r="A301" s="2"/>
      <c r="B301" s="12" t="s">
        <v>216</v>
      </c>
      <c r="C301" s="2"/>
      <c r="D301" s="2"/>
      <c r="E301" s="2" t="s">
        <v>217</v>
      </c>
      <c r="F301" s="2"/>
      <c r="G301" s="27"/>
      <c r="H301" s="2"/>
      <c r="I301" s="2"/>
      <c r="J301" s="209">
        <f>J302+J303</f>
        <v>159.24</v>
      </c>
      <c r="K301" s="209">
        <f>K302+K303</f>
        <v>159.24</v>
      </c>
      <c r="L301" s="209">
        <f>L302+L303</f>
        <v>200</v>
      </c>
      <c r="M301" s="209">
        <f>M302+M303</f>
        <v>200</v>
      </c>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row>
    <row r="302" spans="1:60" ht="51" customHeight="1">
      <c r="A302" s="1"/>
      <c r="B302" s="7" t="s">
        <v>564</v>
      </c>
      <c r="C302" s="4" t="s">
        <v>419</v>
      </c>
      <c r="D302" s="2" t="s">
        <v>8</v>
      </c>
      <c r="E302" s="2" t="s">
        <v>507</v>
      </c>
      <c r="F302" s="2" t="s">
        <v>38</v>
      </c>
      <c r="G302" s="350" t="s">
        <v>719</v>
      </c>
      <c r="H302" s="408" t="s">
        <v>44</v>
      </c>
      <c r="I302" s="317" t="s">
        <v>592</v>
      </c>
      <c r="J302" s="209">
        <f>150+50-40.76</f>
        <v>159.24</v>
      </c>
      <c r="K302" s="209">
        <f>150+50-40.76</f>
        <v>159.24</v>
      </c>
      <c r="L302" s="209">
        <v>150</v>
      </c>
      <c r="M302" s="209">
        <v>150</v>
      </c>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row>
    <row r="303" spans="1:60" ht="33" customHeight="1">
      <c r="A303" s="4"/>
      <c r="B303" s="7" t="s">
        <v>565</v>
      </c>
      <c r="C303" s="4" t="s">
        <v>419</v>
      </c>
      <c r="D303" s="2" t="s">
        <v>8</v>
      </c>
      <c r="E303" s="2" t="s">
        <v>508</v>
      </c>
      <c r="F303" s="2" t="s">
        <v>38</v>
      </c>
      <c r="G303" s="351"/>
      <c r="H303" s="409"/>
      <c r="I303" s="318"/>
      <c r="J303" s="209">
        <f>50-50</f>
        <v>0</v>
      </c>
      <c r="K303" s="209">
        <f>50-50</f>
        <v>0</v>
      </c>
      <c r="L303" s="209">
        <v>50</v>
      </c>
      <c r="M303" s="209">
        <v>50</v>
      </c>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row>
    <row r="304" spans="1:60" ht="30" customHeight="1">
      <c r="A304" s="78" t="s">
        <v>164</v>
      </c>
      <c r="B304" s="79" t="s">
        <v>163</v>
      </c>
      <c r="C304" s="78"/>
      <c r="D304" s="80"/>
      <c r="E304" s="78"/>
      <c r="F304" s="78"/>
      <c r="G304" s="78"/>
      <c r="H304" s="78"/>
      <c r="I304" s="78"/>
      <c r="J304" s="208">
        <f>J305</f>
        <v>1394.8</v>
      </c>
      <c r="K304" s="208">
        <f>K305</f>
        <v>1394.8</v>
      </c>
      <c r="L304" s="208">
        <f>L305</f>
        <v>1394.8</v>
      </c>
      <c r="M304" s="208">
        <f>M305</f>
        <v>1394.8</v>
      </c>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row>
    <row r="305" spans="1:60" ht="30" customHeight="1">
      <c r="A305" s="4"/>
      <c r="B305" s="12" t="s">
        <v>227</v>
      </c>
      <c r="C305" s="2"/>
      <c r="D305" s="2"/>
      <c r="E305" s="2" t="s">
        <v>60</v>
      </c>
      <c r="F305" s="2"/>
      <c r="G305" s="47"/>
      <c r="H305" s="2"/>
      <c r="I305" s="47"/>
      <c r="J305" s="209">
        <f>J306+J312</f>
        <v>1394.8</v>
      </c>
      <c r="K305" s="209">
        <f>K306+K312</f>
        <v>1394.8</v>
      </c>
      <c r="L305" s="209">
        <f>L306+L312</f>
        <v>1394.8</v>
      </c>
      <c r="M305" s="209">
        <f>M306+M312</f>
        <v>1394.8</v>
      </c>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row>
    <row r="306" spans="2:61" s="12" customFormat="1" ht="30" customHeight="1">
      <c r="B306" s="12" t="s">
        <v>228</v>
      </c>
      <c r="D306" s="2"/>
      <c r="E306" s="2" t="s">
        <v>229</v>
      </c>
      <c r="J306" s="209">
        <f>J307+J308+J311+J309+J310</f>
        <v>856.8</v>
      </c>
      <c r="K306" s="209">
        <f>K307+K308+K311+K309+K310</f>
        <v>856.8</v>
      </c>
      <c r="L306" s="209">
        <f>L307+L308+L311+L309+L310</f>
        <v>856.8</v>
      </c>
      <c r="M306" s="209">
        <f>M307+M308+M311+M309+M310</f>
        <v>856.8</v>
      </c>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1"/>
    </row>
    <row r="307" spans="1:13" s="30" customFormat="1" ht="34.5" customHeight="1">
      <c r="A307" s="12"/>
      <c r="B307" s="12" t="s">
        <v>230</v>
      </c>
      <c r="C307" s="2" t="s">
        <v>369</v>
      </c>
      <c r="D307" s="2" t="s">
        <v>43</v>
      </c>
      <c r="E307" s="2" t="s">
        <v>231</v>
      </c>
      <c r="F307" s="2" t="s">
        <v>42</v>
      </c>
      <c r="G307" s="329" t="s">
        <v>750</v>
      </c>
      <c r="H307" s="152" t="s">
        <v>291</v>
      </c>
      <c r="I307" s="331" t="s">
        <v>612</v>
      </c>
      <c r="J307" s="309">
        <f>320-22.7</f>
        <v>297.3</v>
      </c>
      <c r="K307" s="309">
        <f>320-22.7</f>
        <v>297.3</v>
      </c>
      <c r="L307" s="309">
        <v>320</v>
      </c>
      <c r="M307" s="309">
        <v>320</v>
      </c>
    </row>
    <row r="308" spans="1:13" ht="21.75" customHeight="1">
      <c r="A308" s="316"/>
      <c r="B308" s="373" t="s">
        <v>232</v>
      </c>
      <c r="C308" s="2" t="s">
        <v>369</v>
      </c>
      <c r="D308" s="2" t="s">
        <v>43</v>
      </c>
      <c r="E308" s="1" t="s">
        <v>233</v>
      </c>
      <c r="F308" s="2" t="s">
        <v>42</v>
      </c>
      <c r="G308" s="332"/>
      <c r="H308" s="316" t="s">
        <v>292</v>
      </c>
      <c r="I308" s="336"/>
      <c r="J308" s="309">
        <f>351.5-45</f>
        <v>306.5</v>
      </c>
      <c r="K308" s="309">
        <f>351.5-45</f>
        <v>306.5</v>
      </c>
      <c r="L308" s="309">
        <v>351.5</v>
      </c>
      <c r="M308" s="309">
        <v>351.5</v>
      </c>
    </row>
    <row r="309" spans="1:13" ht="21.75" customHeight="1">
      <c r="A309" s="319"/>
      <c r="B309" s="424"/>
      <c r="C309" s="2" t="s">
        <v>369</v>
      </c>
      <c r="D309" s="2" t="s">
        <v>43</v>
      </c>
      <c r="E309" s="1" t="s">
        <v>233</v>
      </c>
      <c r="F309" s="2" t="s">
        <v>254</v>
      </c>
      <c r="G309" s="332"/>
      <c r="H309" s="319"/>
      <c r="I309" s="336"/>
      <c r="J309" s="309">
        <v>10</v>
      </c>
      <c r="K309" s="309">
        <v>10</v>
      </c>
      <c r="L309" s="309">
        <v>0</v>
      </c>
      <c r="M309" s="309">
        <v>0</v>
      </c>
    </row>
    <row r="310" spans="1:13" ht="21.75" customHeight="1">
      <c r="A310" s="320"/>
      <c r="B310" s="374"/>
      <c r="C310" s="2" t="s">
        <v>369</v>
      </c>
      <c r="D310" s="2" t="s">
        <v>43</v>
      </c>
      <c r="E310" s="1" t="s">
        <v>233</v>
      </c>
      <c r="F310" s="2" t="s">
        <v>50</v>
      </c>
      <c r="G310" s="332"/>
      <c r="H310" s="320"/>
      <c r="I310" s="336"/>
      <c r="J310" s="309">
        <v>35</v>
      </c>
      <c r="K310" s="309">
        <v>35</v>
      </c>
      <c r="L310" s="309">
        <v>0</v>
      </c>
      <c r="M310" s="309">
        <v>0</v>
      </c>
    </row>
    <row r="311" spans="1:13" ht="36" customHeight="1">
      <c r="A311" s="105"/>
      <c r="B311" s="57" t="s">
        <v>234</v>
      </c>
      <c r="C311" s="2" t="s">
        <v>369</v>
      </c>
      <c r="D311" s="2" t="s">
        <v>43</v>
      </c>
      <c r="E311" s="2" t="s">
        <v>235</v>
      </c>
      <c r="F311" s="106" t="s">
        <v>42</v>
      </c>
      <c r="G311" s="338"/>
      <c r="H311" s="2" t="s">
        <v>293</v>
      </c>
      <c r="I311" s="337"/>
      <c r="J311" s="309">
        <f>185.3+22.7</f>
        <v>208</v>
      </c>
      <c r="K311" s="309">
        <f>185.3+22.7</f>
        <v>208</v>
      </c>
      <c r="L311" s="309">
        <v>185.3</v>
      </c>
      <c r="M311" s="309">
        <v>185.3</v>
      </c>
    </row>
    <row r="312" spans="1:13" ht="45" customHeight="1">
      <c r="A312" s="2"/>
      <c r="B312" s="109" t="s">
        <v>236</v>
      </c>
      <c r="C312" s="2"/>
      <c r="D312" s="2"/>
      <c r="E312" s="2" t="s">
        <v>237</v>
      </c>
      <c r="F312" s="106"/>
      <c r="G312" s="122"/>
      <c r="H312" s="123"/>
      <c r="I312" s="123"/>
      <c r="J312" s="209">
        <f>J313+J314</f>
        <v>538</v>
      </c>
      <c r="K312" s="209">
        <f>K313+K314</f>
        <v>538</v>
      </c>
      <c r="L312" s="209">
        <f>L313+L314</f>
        <v>538</v>
      </c>
      <c r="M312" s="209">
        <f>M313+M314</f>
        <v>538</v>
      </c>
    </row>
    <row r="313" spans="1:13" ht="30" customHeight="1">
      <c r="A313" s="2"/>
      <c r="B313" s="109" t="s">
        <v>238</v>
      </c>
      <c r="C313" s="2" t="s">
        <v>369</v>
      </c>
      <c r="D313" s="2" t="s">
        <v>43</v>
      </c>
      <c r="E313" s="2" t="s">
        <v>239</v>
      </c>
      <c r="F313" s="106" t="s">
        <v>42</v>
      </c>
      <c r="G313" s="323" t="s">
        <v>750</v>
      </c>
      <c r="H313" s="331" t="s">
        <v>552</v>
      </c>
      <c r="I313" s="367" t="s">
        <v>613</v>
      </c>
      <c r="J313" s="309">
        <v>471</v>
      </c>
      <c r="K313" s="309">
        <v>471</v>
      </c>
      <c r="L313" s="309">
        <v>471</v>
      </c>
      <c r="M313" s="309">
        <v>471</v>
      </c>
    </row>
    <row r="314" spans="1:13" ht="30">
      <c r="A314" s="2"/>
      <c r="B314" s="109" t="s">
        <v>240</v>
      </c>
      <c r="C314" s="2" t="s">
        <v>369</v>
      </c>
      <c r="D314" s="2" t="s">
        <v>43</v>
      </c>
      <c r="E314" s="2" t="s">
        <v>241</v>
      </c>
      <c r="F314" s="2" t="s">
        <v>42</v>
      </c>
      <c r="G314" s="324"/>
      <c r="H314" s="337"/>
      <c r="I314" s="367"/>
      <c r="J314" s="309">
        <v>67</v>
      </c>
      <c r="K314" s="309">
        <v>67</v>
      </c>
      <c r="L314" s="309">
        <v>67</v>
      </c>
      <c r="M314" s="309">
        <v>67</v>
      </c>
    </row>
    <row r="315" spans="1:13" ht="45" customHeight="1">
      <c r="A315" s="78" t="s">
        <v>295</v>
      </c>
      <c r="B315" s="130" t="s">
        <v>296</v>
      </c>
      <c r="C315" s="78"/>
      <c r="D315" s="78"/>
      <c r="E315" s="78"/>
      <c r="F315" s="78"/>
      <c r="G315" s="131"/>
      <c r="H315" s="78"/>
      <c r="I315" s="132"/>
      <c r="J315" s="208">
        <f aca="true" t="shared" si="21" ref="J315:M316">J316</f>
        <v>273.2</v>
      </c>
      <c r="K315" s="208">
        <f t="shared" si="21"/>
        <v>273.2</v>
      </c>
      <c r="L315" s="208">
        <f t="shared" si="21"/>
        <v>273.2</v>
      </c>
      <c r="M315" s="208">
        <f t="shared" si="21"/>
        <v>273.2</v>
      </c>
    </row>
    <row r="316" spans="1:13" ht="45" customHeight="1">
      <c r="A316" s="2"/>
      <c r="B316" s="12" t="s">
        <v>110</v>
      </c>
      <c r="C316" s="57"/>
      <c r="D316" s="2"/>
      <c r="E316" s="2" t="s">
        <v>51</v>
      </c>
      <c r="F316" s="2"/>
      <c r="G316" s="129"/>
      <c r="H316" s="2"/>
      <c r="I316" s="105"/>
      <c r="J316" s="209">
        <f>J317</f>
        <v>273.2</v>
      </c>
      <c r="K316" s="209">
        <f t="shared" si="21"/>
        <v>273.2</v>
      </c>
      <c r="L316" s="209">
        <f t="shared" si="21"/>
        <v>273.2</v>
      </c>
      <c r="M316" s="209">
        <f t="shared" si="21"/>
        <v>273.2</v>
      </c>
    </row>
    <row r="317" spans="1:13" ht="149.25" customHeight="1">
      <c r="A317" s="2"/>
      <c r="B317" s="7" t="s">
        <v>300</v>
      </c>
      <c r="C317" s="2" t="s">
        <v>367</v>
      </c>
      <c r="D317" s="2" t="s">
        <v>91</v>
      </c>
      <c r="E317" s="2" t="s">
        <v>403</v>
      </c>
      <c r="F317" s="2" t="s">
        <v>50</v>
      </c>
      <c r="G317" s="129" t="s">
        <v>895</v>
      </c>
      <c r="H317" s="2" t="s">
        <v>460</v>
      </c>
      <c r="I317" s="105" t="s">
        <v>894</v>
      </c>
      <c r="J317" s="209">
        <v>273.2</v>
      </c>
      <c r="K317" s="209">
        <v>273.2</v>
      </c>
      <c r="L317" s="209">
        <v>273.2</v>
      </c>
      <c r="M317" s="209">
        <v>273.2</v>
      </c>
    </row>
    <row r="318" spans="1:60" s="22" customFormat="1" ht="99.75" customHeight="1">
      <c r="A318" s="37" t="s">
        <v>123</v>
      </c>
      <c r="B318" s="38" t="s">
        <v>125</v>
      </c>
      <c r="C318" s="37"/>
      <c r="D318" s="37"/>
      <c r="E318" s="37"/>
      <c r="F318" s="39"/>
      <c r="G318" s="40"/>
      <c r="H318" s="41"/>
      <c r="I318" s="41"/>
      <c r="J318" s="207">
        <f>J319+J360+J387+J403+J384</f>
        <v>159703.48939</v>
      </c>
      <c r="K318" s="207">
        <f>K319+K360+K387+K403+K384</f>
        <v>153703.93046</v>
      </c>
      <c r="L318" s="207">
        <f>L319+L360+L387+L403+L384</f>
        <v>136798.66004999998</v>
      </c>
      <c r="M318" s="207">
        <f>M319+M360+M387+M403+M384</f>
        <v>141425.48695</v>
      </c>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row>
    <row r="319" spans="1:13" ht="60" customHeight="1">
      <c r="A319" s="78" t="s">
        <v>116</v>
      </c>
      <c r="B319" s="88" t="s">
        <v>117</v>
      </c>
      <c r="C319" s="78"/>
      <c r="D319" s="78"/>
      <c r="E319" s="80"/>
      <c r="F319" s="78"/>
      <c r="G319" s="84"/>
      <c r="H319" s="89"/>
      <c r="I319" s="89"/>
      <c r="J319" s="208">
        <f>J320+J349+J347+J353</f>
        <v>18112.938240000003</v>
      </c>
      <c r="K319" s="208">
        <f>K320+K349+K347+K353</f>
        <v>17936.00353</v>
      </c>
      <c r="L319" s="208">
        <f>L320+L349+L347+L353</f>
        <v>14770.22999</v>
      </c>
      <c r="M319" s="208">
        <f>M320+M349+M347+M353</f>
        <v>14317.473</v>
      </c>
    </row>
    <row r="320" spans="1:60" ht="34.5" customHeight="1">
      <c r="A320" s="2"/>
      <c r="B320" s="6" t="s">
        <v>99</v>
      </c>
      <c r="C320" s="2"/>
      <c r="D320" s="2"/>
      <c r="E320" s="2" t="s">
        <v>61</v>
      </c>
      <c r="F320" s="2"/>
      <c r="G320" s="27"/>
      <c r="H320" s="2"/>
      <c r="I320" s="2"/>
      <c r="J320" s="209">
        <f>J322+J323+J324+J328</f>
        <v>13330.713750000003</v>
      </c>
      <c r="K320" s="209">
        <f>K322+K323+K324+K328+K321</f>
        <v>13153.779040000001</v>
      </c>
      <c r="L320" s="209">
        <f>L322+L323+L324+L328</f>
        <v>12394.47299</v>
      </c>
      <c r="M320" s="209">
        <f>M322+M323+M324+M328</f>
        <v>11934.473</v>
      </c>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row>
    <row r="321" spans="1:60" ht="34.5" customHeight="1">
      <c r="A321" s="2"/>
      <c r="B321" s="415" t="s">
        <v>85</v>
      </c>
      <c r="C321" s="2" t="s">
        <v>366</v>
      </c>
      <c r="D321" s="2" t="s">
        <v>9</v>
      </c>
      <c r="E321" s="2" t="s">
        <v>340</v>
      </c>
      <c r="F321" s="2" t="s">
        <v>38</v>
      </c>
      <c r="G321" s="329" t="s">
        <v>896</v>
      </c>
      <c r="H321" s="331" t="s">
        <v>578</v>
      </c>
      <c r="I321" s="316" t="s">
        <v>579</v>
      </c>
      <c r="J321" s="209">
        <v>600</v>
      </c>
      <c r="K321" s="209">
        <v>600</v>
      </c>
      <c r="L321" s="209">
        <v>0</v>
      </c>
      <c r="M321" s="209">
        <v>0</v>
      </c>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row>
    <row r="322" spans="1:60" ht="40.5" customHeight="1">
      <c r="A322" s="2"/>
      <c r="B322" s="416"/>
      <c r="C322" s="2" t="s">
        <v>367</v>
      </c>
      <c r="D322" s="2" t="s">
        <v>9</v>
      </c>
      <c r="E322" s="2" t="s">
        <v>340</v>
      </c>
      <c r="F322" s="2" t="s">
        <v>38</v>
      </c>
      <c r="G322" s="330"/>
      <c r="H322" s="330"/>
      <c r="I322" s="330"/>
      <c r="J322" s="209">
        <v>1815.49013</v>
      </c>
      <c r="K322" s="209">
        <v>1815.49013</v>
      </c>
      <c r="L322" s="209">
        <v>2187</v>
      </c>
      <c r="M322" s="209">
        <v>2187</v>
      </c>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row>
    <row r="323" spans="1:60" ht="44.25" customHeight="1">
      <c r="A323" s="2"/>
      <c r="B323" s="335"/>
      <c r="C323" s="2" t="s">
        <v>341</v>
      </c>
      <c r="D323" s="2" t="s">
        <v>9</v>
      </c>
      <c r="E323" s="2" t="s">
        <v>340</v>
      </c>
      <c r="F323" s="2" t="s">
        <v>38</v>
      </c>
      <c r="G323" s="315"/>
      <c r="H323" s="315"/>
      <c r="I323" s="315"/>
      <c r="J323" s="209">
        <v>600</v>
      </c>
      <c r="K323" s="209">
        <v>600</v>
      </c>
      <c r="L323" s="209">
        <v>600</v>
      </c>
      <c r="M323" s="209">
        <v>600</v>
      </c>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row>
    <row r="324" spans="1:60" ht="30" customHeight="1">
      <c r="A324" s="2"/>
      <c r="B324" s="13" t="s">
        <v>333</v>
      </c>
      <c r="C324" s="2"/>
      <c r="D324" s="2"/>
      <c r="E324" s="2" t="s">
        <v>334</v>
      </c>
      <c r="F324" s="2"/>
      <c r="G324" s="27"/>
      <c r="H324" s="2"/>
      <c r="I324" s="2"/>
      <c r="J324" s="209">
        <f>J325+J327+J326</f>
        <v>439.8</v>
      </c>
      <c r="K324" s="209">
        <f>K325+K327+K326</f>
        <v>107.7</v>
      </c>
      <c r="L324" s="209">
        <f>L325+L327+L326</f>
        <v>432.1</v>
      </c>
      <c r="M324" s="209">
        <f>M325+M327+M326</f>
        <v>432.1</v>
      </c>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row>
    <row r="325" spans="1:60" ht="40.5" customHeight="1">
      <c r="A325" s="2"/>
      <c r="B325" s="142" t="s">
        <v>331</v>
      </c>
      <c r="C325" s="2" t="s">
        <v>367</v>
      </c>
      <c r="D325" s="2" t="s">
        <v>297</v>
      </c>
      <c r="E325" s="2" t="s">
        <v>332</v>
      </c>
      <c r="F325" s="2" t="s">
        <v>38</v>
      </c>
      <c r="G325" s="350" t="s">
        <v>621</v>
      </c>
      <c r="H325" s="352" t="s">
        <v>614</v>
      </c>
      <c r="I325" s="345" t="s">
        <v>169</v>
      </c>
      <c r="J325" s="209">
        <v>98.5</v>
      </c>
      <c r="K325" s="209">
        <v>98.5</v>
      </c>
      <c r="L325" s="209">
        <v>100</v>
      </c>
      <c r="M325" s="209">
        <v>100</v>
      </c>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row>
    <row r="326" spans="1:60" ht="40.5" customHeight="1">
      <c r="A326" s="2"/>
      <c r="B326" s="142" t="s">
        <v>331</v>
      </c>
      <c r="C326" s="2" t="s">
        <v>366</v>
      </c>
      <c r="D326" s="2" t="s">
        <v>299</v>
      </c>
      <c r="E326" s="2" t="s">
        <v>332</v>
      </c>
      <c r="F326" s="2" t="s">
        <v>38</v>
      </c>
      <c r="G326" s="358"/>
      <c r="H326" s="353"/>
      <c r="I326" s="365"/>
      <c r="J326" s="209">
        <v>9.2</v>
      </c>
      <c r="K326" s="209">
        <v>9.2</v>
      </c>
      <c r="L326" s="209">
        <v>0</v>
      </c>
      <c r="M326" s="209">
        <v>0</v>
      </c>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row>
    <row r="327" spans="1:60" ht="33.75" customHeight="1">
      <c r="A327" s="2"/>
      <c r="B327" s="142" t="s">
        <v>563</v>
      </c>
      <c r="C327" s="2" t="s">
        <v>367</v>
      </c>
      <c r="D327" s="2" t="s">
        <v>9</v>
      </c>
      <c r="E327" s="2" t="s">
        <v>562</v>
      </c>
      <c r="F327" s="2" t="s">
        <v>38</v>
      </c>
      <c r="G327" s="315"/>
      <c r="H327" s="354"/>
      <c r="I327" s="330"/>
      <c r="J327" s="209">
        <v>332.1</v>
      </c>
      <c r="K327" s="209">
        <f>332.1-332.1</f>
        <v>0</v>
      </c>
      <c r="L327" s="209">
        <v>332.1</v>
      </c>
      <c r="M327" s="209">
        <v>332.1</v>
      </c>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row>
    <row r="328" spans="1:60" ht="30" customHeight="1">
      <c r="A328" s="2"/>
      <c r="B328" s="7" t="s">
        <v>271</v>
      </c>
      <c r="C328" s="2"/>
      <c r="D328" s="2"/>
      <c r="E328" s="2" t="s">
        <v>272</v>
      </c>
      <c r="F328" s="2"/>
      <c r="G328" s="27"/>
      <c r="H328" s="2"/>
      <c r="I328" s="2"/>
      <c r="J328" s="209">
        <f>SUM(J329:J346)</f>
        <v>10475.423620000001</v>
      </c>
      <c r="K328" s="209">
        <f>SUM(K329:K346)</f>
        <v>10030.588910000002</v>
      </c>
      <c r="L328" s="209">
        <f>SUM(L329:L346)</f>
        <v>9175.37299</v>
      </c>
      <c r="M328" s="209">
        <f>SUM(M329:M346)</f>
        <v>8715.373</v>
      </c>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row>
    <row r="329" spans="1:60" ht="15.75">
      <c r="A329" s="2"/>
      <c r="B329" s="321" t="s">
        <v>755</v>
      </c>
      <c r="C329" s="2" t="s">
        <v>341</v>
      </c>
      <c r="D329" s="2" t="s">
        <v>342</v>
      </c>
      <c r="E329" s="1" t="s">
        <v>368</v>
      </c>
      <c r="F329" s="2" t="s">
        <v>38</v>
      </c>
      <c r="G329" s="350" t="s">
        <v>865</v>
      </c>
      <c r="H329" s="352" t="s">
        <v>580</v>
      </c>
      <c r="I329" s="345" t="s">
        <v>866</v>
      </c>
      <c r="J329" s="210">
        <v>197.871</v>
      </c>
      <c r="K329" s="210">
        <v>197.871</v>
      </c>
      <c r="L329" s="210">
        <v>197.871</v>
      </c>
      <c r="M329" s="210">
        <v>197.871</v>
      </c>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row>
    <row r="330" spans="1:60" ht="15.75">
      <c r="A330" s="2"/>
      <c r="B330" s="375"/>
      <c r="C330" s="2" t="s">
        <v>366</v>
      </c>
      <c r="D330" s="2" t="s">
        <v>299</v>
      </c>
      <c r="E330" s="1" t="s">
        <v>368</v>
      </c>
      <c r="F330" s="2" t="s">
        <v>38</v>
      </c>
      <c r="G330" s="358"/>
      <c r="H330" s="353"/>
      <c r="I330" s="365"/>
      <c r="J330" s="210">
        <f>468.965+115</f>
        <v>583.9649999999999</v>
      </c>
      <c r="K330" s="210">
        <f>447.965+15+6+115</f>
        <v>583.9649999999999</v>
      </c>
      <c r="L330" s="210">
        <v>697.965</v>
      </c>
      <c r="M330" s="210">
        <v>447.965</v>
      </c>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row>
    <row r="331" spans="1:60" ht="15.75">
      <c r="A331" s="2"/>
      <c r="B331" s="375"/>
      <c r="C331" s="2" t="s">
        <v>347</v>
      </c>
      <c r="D331" s="2" t="s">
        <v>299</v>
      </c>
      <c r="E331" s="1" t="s">
        <v>368</v>
      </c>
      <c r="F331" s="2" t="s">
        <v>38</v>
      </c>
      <c r="G331" s="358"/>
      <c r="H331" s="353"/>
      <c r="I331" s="365"/>
      <c r="J331" s="210">
        <v>127.077</v>
      </c>
      <c r="K331" s="210">
        <v>127.077</v>
      </c>
      <c r="L331" s="210">
        <v>127.077</v>
      </c>
      <c r="M331" s="210">
        <v>127.077</v>
      </c>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row>
    <row r="332" spans="1:60" ht="30">
      <c r="A332" s="2"/>
      <c r="B332" s="375"/>
      <c r="C332" s="2" t="s">
        <v>367</v>
      </c>
      <c r="D332" s="2" t="s">
        <v>297</v>
      </c>
      <c r="E332" s="1" t="s">
        <v>368</v>
      </c>
      <c r="F332" s="2" t="s">
        <v>38</v>
      </c>
      <c r="G332" s="358"/>
      <c r="H332" s="353"/>
      <c r="I332" s="365"/>
      <c r="J332" s="210">
        <f>1207.222-153.2+5.9-0.11064+23.3864+600-25.98</f>
        <v>1657.21776</v>
      </c>
      <c r="K332" s="210">
        <v>1617.97145</v>
      </c>
      <c r="L332" s="210">
        <v>1172.347</v>
      </c>
      <c r="M332" s="210">
        <v>1207.222</v>
      </c>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row>
    <row r="333" spans="1:60" ht="15">
      <c r="A333" s="2"/>
      <c r="B333" s="375"/>
      <c r="C333" s="2" t="s">
        <v>419</v>
      </c>
      <c r="D333" s="2" t="s">
        <v>9</v>
      </c>
      <c r="E333" s="1" t="s">
        <v>368</v>
      </c>
      <c r="F333" s="2" t="s">
        <v>38</v>
      </c>
      <c r="G333" s="358"/>
      <c r="H333" s="353"/>
      <c r="I333" s="365"/>
      <c r="J333" s="209">
        <v>611.199</v>
      </c>
      <c r="K333" s="209">
        <v>611.199</v>
      </c>
      <c r="L333" s="209">
        <v>611.199</v>
      </c>
      <c r="M333" s="209">
        <v>611.199</v>
      </c>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row>
    <row r="334" spans="1:60" ht="30">
      <c r="A334" s="2"/>
      <c r="B334" s="375"/>
      <c r="C334" s="2" t="s">
        <v>367</v>
      </c>
      <c r="D334" s="2" t="s">
        <v>297</v>
      </c>
      <c r="E334" s="1" t="s">
        <v>368</v>
      </c>
      <c r="F334" s="2" t="s">
        <v>39</v>
      </c>
      <c r="G334" s="358"/>
      <c r="H334" s="353"/>
      <c r="I334" s="365"/>
      <c r="J334" s="209">
        <f>65.33-8.05</f>
        <v>57.28</v>
      </c>
      <c r="K334" s="209">
        <v>33.813</v>
      </c>
      <c r="L334" s="209">
        <v>65.33</v>
      </c>
      <c r="M334" s="209">
        <v>65.33</v>
      </c>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row>
    <row r="335" spans="1:60" ht="15">
      <c r="A335" s="2"/>
      <c r="B335" s="375"/>
      <c r="C335" s="2" t="s">
        <v>4</v>
      </c>
      <c r="D335" s="2" t="s">
        <v>9</v>
      </c>
      <c r="E335" s="1" t="s">
        <v>368</v>
      </c>
      <c r="F335" s="2" t="s">
        <v>38</v>
      </c>
      <c r="G335" s="358"/>
      <c r="H335" s="353"/>
      <c r="I335" s="365"/>
      <c r="J335" s="209">
        <v>358.063</v>
      </c>
      <c r="K335" s="209">
        <f>358.063-62.27283+63</f>
        <v>358.79017</v>
      </c>
      <c r="L335" s="209">
        <f>358.063-0.00001+210</f>
        <v>568.06299</v>
      </c>
      <c r="M335" s="209">
        <v>358.063</v>
      </c>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row>
    <row r="336" spans="1:60" ht="15.75" customHeight="1">
      <c r="A336" s="2"/>
      <c r="B336" s="375"/>
      <c r="C336" s="2" t="s">
        <v>4</v>
      </c>
      <c r="D336" s="2" t="s">
        <v>9</v>
      </c>
      <c r="E336" s="1" t="s">
        <v>368</v>
      </c>
      <c r="F336" s="2" t="s">
        <v>39</v>
      </c>
      <c r="G336" s="358"/>
      <c r="H336" s="353"/>
      <c r="I336" s="365"/>
      <c r="J336" s="209">
        <v>0.24582</v>
      </c>
      <c r="K336" s="209">
        <v>0.24582</v>
      </c>
      <c r="L336" s="209">
        <v>0</v>
      </c>
      <c r="M336" s="209">
        <v>0</v>
      </c>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row>
    <row r="337" spans="1:60" ht="56.25" customHeight="1">
      <c r="A337" s="2"/>
      <c r="B337" s="340"/>
      <c r="C337" s="2" t="s">
        <v>369</v>
      </c>
      <c r="D337" s="2" t="s">
        <v>9</v>
      </c>
      <c r="E337" s="1" t="s">
        <v>368</v>
      </c>
      <c r="F337" s="105" t="s">
        <v>38</v>
      </c>
      <c r="G337" s="351"/>
      <c r="H337" s="354"/>
      <c r="I337" s="346"/>
      <c r="J337" s="309">
        <f>677.66408+19.14514</f>
        <v>696.80922</v>
      </c>
      <c r="K337" s="309">
        <f>432.062+215.60208+30+19.14514</f>
        <v>696.80922</v>
      </c>
      <c r="L337" s="309">
        <v>432.062</v>
      </c>
      <c r="M337" s="309">
        <v>432.062</v>
      </c>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row>
    <row r="338" spans="1:60" ht="30">
      <c r="A338" s="2"/>
      <c r="B338" s="115" t="s">
        <v>335</v>
      </c>
      <c r="C338" s="2" t="s">
        <v>367</v>
      </c>
      <c r="D338" s="2" t="s">
        <v>9</v>
      </c>
      <c r="E338" s="2" t="s">
        <v>336</v>
      </c>
      <c r="F338" s="2" t="s">
        <v>38</v>
      </c>
      <c r="G338" s="350" t="s">
        <v>615</v>
      </c>
      <c r="H338" s="352" t="s">
        <v>619</v>
      </c>
      <c r="I338" s="345" t="s">
        <v>620</v>
      </c>
      <c r="J338" s="217">
        <v>2996.98574</v>
      </c>
      <c r="K338" s="217">
        <v>2996.98574</v>
      </c>
      <c r="L338" s="217">
        <v>2463.584</v>
      </c>
      <c r="M338" s="217">
        <v>2463.584</v>
      </c>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row>
    <row r="339" spans="1:60" ht="30">
      <c r="A339" s="2"/>
      <c r="B339" s="7" t="s">
        <v>473</v>
      </c>
      <c r="C339" s="2" t="s">
        <v>367</v>
      </c>
      <c r="D339" s="2" t="s">
        <v>297</v>
      </c>
      <c r="E339" s="2" t="s">
        <v>337</v>
      </c>
      <c r="F339" s="2" t="s">
        <v>38</v>
      </c>
      <c r="G339" s="330"/>
      <c r="H339" s="330"/>
      <c r="I339" s="330"/>
      <c r="J339" s="210">
        <v>564.6</v>
      </c>
      <c r="K339" s="210">
        <f>564.6+0.11064</f>
        <v>564.71064</v>
      </c>
      <c r="L339" s="210">
        <v>599.475</v>
      </c>
      <c r="M339" s="210">
        <v>564.6</v>
      </c>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row>
    <row r="340" spans="1:60" ht="30">
      <c r="A340" s="2"/>
      <c r="B340" s="360" t="s">
        <v>338</v>
      </c>
      <c r="C340" s="2" t="s">
        <v>367</v>
      </c>
      <c r="D340" s="2" t="s">
        <v>297</v>
      </c>
      <c r="E340" s="2" t="s">
        <v>339</v>
      </c>
      <c r="F340" s="2" t="s">
        <v>38</v>
      </c>
      <c r="G340" s="330"/>
      <c r="H340" s="330"/>
      <c r="I340" s="330"/>
      <c r="J340" s="210">
        <v>254.11008</v>
      </c>
      <c r="K340" s="210">
        <v>254.11008</v>
      </c>
      <c r="L340" s="210">
        <f>615.4-340</f>
        <v>275.4</v>
      </c>
      <c r="M340" s="210">
        <f>615.4-340</f>
        <v>275.4</v>
      </c>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row>
    <row r="341" spans="1:60" ht="26.25" customHeight="1">
      <c r="A341" s="2"/>
      <c r="B341" s="328"/>
      <c r="C341" s="2" t="s">
        <v>366</v>
      </c>
      <c r="D341" s="2" t="s">
        <v>299</v>
      </c>
      <c r="E341" s="2" t="s">
        <v>339</v>
      </c>
      <c r="F341" s="2" t="s">
        <v>38</v>
      </c>
      <c r="G341" s="315"/>
      <c r="H341" s="315"/>
      <c r="I341" s="315"/>
      <c r="J341" s="210">
        <v>340</v>
      </c>
      <c r="K341" s="210">
        <v>340</v>
      </c>
      <c r="L341" s="210">
        <v>340</v>
      </c>
      <c r="M341" s="210">
        <v>340</v>
      </c>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row>
    <row r="342" spans="1:60" ht="26.25" customHeight="1">
      <c r="A342" s="316"/>
      <c r="B342" s="360" t="s">
        <v>754</v>
      </c>
      <c r="C342" s="2" t="s">
        <v>366</v>
      </c>
      <c r="D342" s="2" t="s">
        <v>9</v>
      </c>
      <c r="E342" s="2" t="s">
        <v>109</v>
      </c>
      <c r="F342" s="2" t="s">
        <v>38</v>
      </c>
      <c r="G342" s="350" t="s">
        <v>897</v>
      </c>
      <c r="H342" s="267"/>
      <c r="I342" s="345" t="s">
        <v>898</v>
      </c>
      <c r="J342" s="210">
        <v>80</v>
      </c>
      <c r="K342" s="210">
        <v>80</v>
      </c>
      <c r="L342" s="210">
        <v>0</v>
      </c>
      <c r="M342" s="210">
        <v>0</v>
      </c>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row>
    <row r="343" spans="1:60" ht="30" customHeight="1">
      <c r="A343" s="319"/>
      <c r="B343" s="327"/>
      <c r="C343" s="2" t="s">
        <v>367</v>
      </c>
      <c r="D343" s="2" t="s">
        <v>9</v>
      </c>
      <c r="E343" s="2" t="s">
        <v>109</v>
      </c>
      <c r="F343" s="2" t="s">
        <v>38</v>
      </c>
      <c r="G343" s="330"/>
      <c r="H343" s="185"/>
      <c r="I343" s="330"/>
      <c r="J343" s="209">
        <v>1030</v>
      </c>
      <c r="K343" s="209">
        <v>1015.69079</v>
      </c>
      <c r="L343" s="209">
        <v>1030</v>
      </c>
      <c r="M343" s="209">
        <v>1030</v>
      </c>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row>
    <row r="344" spans="1:60" ht="30" customHeight="1">
      <c r="A344" s="319"/>
      <c r="B344" s="327"/>
      <c r="C344" s="2" t="s">
        <v>367</v>
      </c>
      <c r="D344" s="2" t="s">
        <v>9</v>
      </c>
      <c r="E344" s="2" t="s">
        <v>109</v>
      </c>
      <c r="F344" s="2" t="s">
        <v>39</v>
      </c>
      <c r="G344" s="330"/>
      <c r="H344" s="185" t="s">
        <v>281</v>
      </c>
      <c r="I344" s="330"/>
      <c r="J344" s="209">
        <v>270</v>
      </c>
      <c r="K344" s="209">
        <v>270</v>
      </c>
      <c r="L344" s="209">
        <v>270</v>
      </c>
      <c r="M344" s="209">
        <v>270</v>
      </c>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row>
    <row r="345" spans="1:60" ht="21" customHeight="1">
      <c r="A345" s="319"/>
      <c r="B345" s="327"/>
      <c r="C345" s="2" t="s">
        <v>341</v>
      </c>
      <c r="D345" s="2" t="s">
        <v>9</v>
      </c>
      <c r="E345" s="2" t="s">
        <v>109</v>
      </c>
      <c r="F345" s="2" t="s">
        <v>38</v>
      </c>
      <c r="G345" s="330"/>
      <c r="H345" s="185"/>
      <c r="I345" s="330"/>
      <c r="J345" s="209">
        <v>500</v>
      </c>
      <c r="K345" s="209">
        <v>250</v>
      </c>
      <c r="L345" s="209">
        <v>250</v>
      </c>
      <c r="M345" s="209">
        <v>250</v>
      </c>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row>
    <row r="346" spans="1:60" ht="21" customHeight="1">
      <c r="A346" s="320"/>
      <c r="B346" s="328"/>
      <c r="C346" s="2" t="s">
        <v>347</v>
      </c>
      <c r="D346" s="2" t="s">
        <v>9</v>
      </c>
      <c r="E346" s="2" t="s">
        <v>109</v>
      </c>
      <c r="F346" s="2" t="s">
        <v>38</v>
      </c>
      <c r="G346" s="315"/>
      <c r="H346" s="186"/>
      <c r="I346" s="315"/>
      <c r="J346" s="209">
        <v>150</v>
      </c>
      <c r="K346" s="209">
        <v>31.35</v>
      </c>
      <c r="L346" s="209">
        <v>75</v>
      </c>
      <c r="M346" s="209">
        <v>75</v>
      </c>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row>
    <row r="347" spans="1:60" ht="21" customHeight="1">
      <c r="A347" s="2"/>
      <c r="B347" s="180"/>
      <c r="C347" s="2"/>
      <c r="D347" s="2"/>
      <c r="E347" s="2" t="s">
        <v>51</v>
      </c>
      <c r="F347" s="2"/>
      <c r="G347" s="156"/>
      <c r="H347" s="156"/>
      <c r="I347" s="156"/>
      <c r="J347" s="209">
        <f>J348</f>
        <v>495</v>
      </c>
      <c r="K347" s="209">
        <f>K348</f>
        <v>495</v>
      </c>
      <c r="L347" s="209">
        <f>L348</f>
        <v>1192.757</v>
      </c>
      <c r="M347" s="209">
        <f>M348</f>
        <v>1200</v>
      </c>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row>
    <row r="348" spans="1:60" ht="54.75" customHeight="1">
      <c r="A348" s="2"/>
      <c r="B348" s="144" t="s">
        <v>587</v>
      </c>
      <c r="C348" s="2" t="s">
        <v>367</v>
      </c>
      <c r="D348" s="2" t="s">
        <v>91</v>
      </c>
      <c r="E348" s="2" t="s">
        <v>404</v>
      </c>
      <c r="F348" s="2" t="s">
        <v>38</v>
      </c>
      <c r="G348" s="182" t="s">
        <v>710</v>
      </c>
      <c r="H348" s="2" t="s">
        <v>44</v>
      </c>
      <c r="I348" s="2" t="s">
        <v>592</v>
      </c>
      <c r="J348" s="209">
        <f>498-3</f>
        <v>495</v>
      </c>
      <c r="K348" s="209">
        <f>498-3</f>
        <v>495</v>
      </c>
      <c r="L348" s="209">
        <v>1192.757</v>
      </c>
      <c r="M348" s="209">
        <v>1200</v>
      </c>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row>
    <row r="349" spans="1:60" ht="45" customHeight="1">
      <c r="A349" s="2"/>
      <c r="B349" s="144" t="s">
        <v>412</v>
      </c>
      <c r="C349" s="2"/>
      <c r="D349" s="2"/>
      <c r="E349" s="2" t="s">
        <v>411</v>
      </c>
      <c r="F349" s="2"/>
      <c r="G349" s="156"/>
      <c r="H349" s="156"/>
      <c r="I349" s="156"/>
      <c r="J349" s="209">
        <f>J350+J352</f>
        <v>1183</v>
      </c>
      <c r="K349" s="209">
        <f>K350+K352</f>
        <v>1183</v>
      </c>
      <c r="L349" s="209">
        <f>L350+L352</f>
        <v>1183</v>
      </c>
      <c r="M349" s="209">
        <f>M350+M352</f>
        <v>1183</v>
      </c>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row>
    <row r="350" spans="1:60" ht="69.75" customHeight="1">
      <c r="A350" s="2"/>
      <c r="B350" s="144" t="s">
        <v>409</v>
      </c>
      <c r="C350" s="2"/>
      <c r="D350" s="2"/>
      <c r="E350" s="2" t="s">
        <v>410</v>
      </c>
      <c r="F350" s="2"/>
      <c r="G350" s="157"/>
      <c r="H350" s="157"/>
      <c r="I350" s="157"/>
      <c r="J350" s="209">
        <f>J351</f>
        <v>100</v>
      </c>
      <c r="K350" s="209">
        <f>K351</f>
        <v>100</v>
      </c>
      <c r="L350" s="209">
        <f>L351</f>
        <v>100</v>
      </c>
      <c r="M350" s="209">
        <f>M351</f>
        <v>100</v>
      </c>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row>
    <row r="351" spans="1:60" ht="87" customHeight="1">
      <c r="A351" s="2"/>
      <c r="B351" s="144" t="s">
        <v>408</v>
      </c>
      <c r="C351" s="2" t="s">
        <v>367</v>
      </c>
      <c r="D351" s="2" t="s">
        <v>9</v>
      </c>
      <c r="E351" s="2" t="s">
        <v>407</v>
      </c>
      <c r="F351" s="2" t="s">
        <v>38</v>
      </c>
      <c r="G351" s="242" t="s">
        <v>806</v>
      </c>
      <c r="H351" s="125" t="s">
        <v>807</v>
      </c>
      <c r="I351" s="125" t="s">
        <v>808</v>
      </c>
      <c r="J351" s="209">
        <v>100</v>
      </c>
      <c r="K351" s="209">
        <v>100</v>
      </c>
      <c r="L351" s="209">
        <v>100</v>
      </c>
      <c r="M351" s="209">
        <v>100</v>
      </c>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row>
    <row r="352" spans="1:60" ht="225" customHeight="1">
      <c r="A352" s="2"/>
      <c r="B352" s="203" t="s">
        <v>585</v>
      </c>
      <c r="C352" s="106" t="s">
        <v>369</v>
      </c>
      <c r="D352" s="106" t="s">
        <v>9</v>
      </c>
      <c r="E352" s="106" t="s">
        <v>586</v>
      </c>
      <c r="F352" s="106" t="s">
        <v>50</v>
      </c>
      <c r="G352" s="135" t="s">
        <v>774</v>
      </c>
      <c r="H352" s="5" t="s">
        <v>281</v>
      </c>
      <c r="I352" s="5" t="s">
        <v>764</v>
      </c>
      <c r="J352" s="209">
        <v>1083</v>
      </c>
      <c r="K352" s="209">
        <v>1083</v>
      </c>
      <c r="L352" s="209">
        <v>1083</v>
      </c>
      <c r="M352" s="209">
        <v>1083</v>
      </c>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row>
    <row r="353" spans="1:60" ht="23.25" customHeight="1">
      <c r="A353" s="2"/>
      <c r="B353" s="203"/>
      <c r="C353" s="232"/>
      <c r="D353" s="232"/>
      <c r="E353" s="2" t="s">
        <v>65</v>
      </c>
      <c r="F353" s="232"/>
      <c r="G353" s="135"/>
      <c r="H353" s="5"/>
      <c r="I353" s="5"/>
      <c r="J353" s="209">
        <f>SUM(J354:J359)</f>
        <v>3104.22449</v>
      </c>
      <c r="K353" s="209">
        <f>SUM(K354:K359)</f>
        <v>3104.22449</v>
      </c>
      <c r="L353" s="209">
        <f>SUM(L354:L359)</f>
        <v>0</v>
      </c>
      <c r="M353" s="209">
        <f>SUM(M354:M359)</f>
        <v>0</v>
      </c>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row>
    <row r="354" spans="1:60" ht="71.25" customHeight="1">
      <c r="A354" s="2"/>
      <c r="B354" s="203" t="s">
        <v>950</v>
      </c>
      <c r="C354" s="2" t="s">
        <v>367</v>
      </c>
      <c r="D354" s="239" t="s">
        <v>9</v>
      </c>
      <c r="E354" s="2" t="s">
        <v>782</v>
      </c>
      <c r="F354" s="239" t="s">
        <v>797</v>
      </c>
      <c r="G354" s="3" t="s">
        <v>798</v>
      </c>
      <c r="H354" s="5" t="s">
        <v>281</v>
      </c>
      <c r="I354" s="5" t="s">
        <v>799</v>
      </c>
      <c r="J354" s="209">
        <f>1362.93465+653.38983</f>
        <v>2016.3244799999998</v>
      </c>
      <c r="K354" s="209">
        <f>1362.93465+653.38983</f>
        <v>2016.3244799999998</v>
      </c>
      <c r="L354" s="209">
        <v>0</v>
      </c>
      <c r="M354" s="209">
        <v>0</v>
      </c>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row>
    <row r="355" spans="1:60" ht="36.75" customHeight="1">
      <c r="A355" s="2"/>
      <c r="B355" s="203" t="s">
        <v>950</v>
      </c>
      <c r="C355" s="2" t="s">
        <v>367</v>
      </c>
      <c r="D355" s="232" t="s">
        <v>9</v>
      </c>
      <c r="E355" s="2" t="s">
        <v>782</v>
      </c>
      <c r="F355" s="232" t="s">
        <v>39</v>
      </c>
      <c r="G355" s="3" t="s">
        <v>783</v>
      </c>
      <c r="H355" s="5" t="s">
        <v>281</v>
      </c>
      <c r="I355" s="5" t="s">
        <v>784</v>
      </c>
      <c r="J355" s="209">
        <f>70+20+15+560+110+50</f>
        <v>825</v>
      </c>
      <c r="K355" s="209">
        <f>70+20+15+560+110+50</f>
        <v>825</v>
      </c>
      <c r="L355" s="209">
        <v>0</v>
      </c>
      <c r="M355" s="209">
        <v>0</v>
      </c>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row>
    <row r="356" spans="1:60" ht="36.75" customHeight="1">
      <c r="A356" s="2"/>
      <c r="B356" s="203" t="s">
        <v>950</v>
      </c>
      <c r="C356" s="2" t="s">
        <v>4</v>
      </c>
      <c r="D356" s="284" t="s">
        <v>9</v>
      </c>
      <c r="E356" s="2" t="s">
        <v>782</v>
      </c>
      <c r="F356" s="284" t="s">
        <v>797</v>
      </c>
      <c r="G356" s="3" t="s">
        <v>957</v>
      </c>
      <c r="H356" s="5" t="s">
        <v>281</v>
      </c>
      <c r="I356" s="5" t="s">
        <v>958</v>
      </c>
      <c r="J356" s="209">
        <v>120</v>
      </c>
      <c r="K356" s="209">
        <v>120</v>
      </c>
      <c r="L356" s="209">
        <v>0</v>
      </c>
      <c r="M356" s="209">
        <v>0</v>
      </c>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row>
    <row r="357" spans="1:60" ht="72" customHeight="1">
      <c r="A357" s="2"/>
      <c r="B357" s="203" t="s">
        <v>950</v>
      </c>
      <c r="C357" s="283" t="s">
        <v>419</v>
      </c>
      <c r="D357" s="282" t="s">
        <v>9</v>
      </c>
      <c r="E357" s="2" t="s">
        <v>782</v>
      </c>
      <c r="F357" s="282" t="s">
        <v>797</v>
      </c>
      <c r="G357" s="3" t="s">
        <v>945</v>
      </c>
      <c r="H357" s="5" t="s">
        <v>281</v>
      </c>
      <c r="I357" s="5" t="s">
        <v>946</v>
      </c>
      <c r="J357" s="209">
        <v>105</v>
      </c>
      <c r="K357" s="209">
        <v>105</v>
      </c>
      <c r="L357" s="209">
        <v>0</v>
      </c>
      <c r="M357" s="209">
        <v>0</v>
      </c>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row>
    <row r="358" spans="1:60" ht="78" customHeight="1">
      <c r="A358" s="2"/>
      <c r="B358" s="203" t="s">
        <v>972</v>
      </c>
      <c r="C358" s="2" t="s">
        <v>367</v>
      </c>
      <c r="D358" s="295" t="s">
        <v>9</v>
      </c>
      <c r="E358" s="200" t="s">
        <v>971</v>
      </c>
      <c r="F358" s="295" t="s">
        <v>991</v>
      </c>
      <c r="G358" s="3" t="s">
        <v>989</v>
      </c>
      <c r="H358" s="307" t="s">
        <v>281</v>
      </c>
      <c r="I358" s="5" t="s">
        <v>990</v>
      </c>
      <c r="J358" s="209">
        <v>37.9</v>
      </c>
      <c r="K358" s="209">
        <v>37.9</v>
      </c>
      <c r="L358" s="209">
        <v>0</v>
      </c>
      <c r="M358" s="209">
        <v>0</v>
      </c>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row>
    <row r="359" spans="1:60" ht="72" customHeight="1">
      <c r="A359" s="2"/>
      <c r="B359" s="7" t="s">
        <v>953</v>
      </c>
      <c r="C359" s="286" t="s">
        <v>366</v>
      </c>
      <c r="D359" s="285" t="s">
        <v>9</v>
      </c>
      <c r="E359" s="2" t="s">
        <v>954</v>
      </c>
      <c r="F359" s="285" t="s">
        <v>38</v>
      </c>
      <c r="G359" s="3" t="s">
        <v>955</v>
      </c>
      <c r="H359" s="5" t="s">
        <v>281</v>
      </c>
      <c r="I359" s="5" t="s">
        <v>956</v>
      </c>
      <c r="J359" s="209">
        <v>1E-05</v>
      </c>
      <c r="K359" s="209">
        <v>1E-05</v>
      </c>
      <c r="L359" s="209">
        <v>0</v>
      </c>
      <c r="M359" s="209">
        <v>0</v>
      </c>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row>
    <row r="360" spans="1:60" ht="43.5" customHeight="1">
      <c r="A360" s="78" t="s">
        <v>118</v>
      </c>
      <c r="B360" s="88" t="s">
        <v>119</v>
      </c>
      <c r="C360" s="78"/>
      <c r="D360" s="78"/>
      <c r="E360" s="80"/>
      <c r="F360" s="78"/>
      <c r="G360" s="84"/>
      <c r="H360" s="89"/>
      <c r="I360" s="89"/>
      <c r="J360" s="208">
        <f>J361+J376</f>
        <v>79505.04328</v>
      </c>
      <c r="K360" s="208">
        <f>K361+K376</f>
        <v>73682.41606</v>
      </c>
      <c r="L360" s="208">
        <f>L361</f>
        <v>70625.71432999999</v>
      </c>
      <c r="M360" s="208">
        <f>M361</f>
        <v>74541.61</v>
      </c>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row>
    <row r="361" spans="1:60" ht="30" customHeight="1">
      <c r="A361" s="2"/>
      <c r="B361" s="7" t="s">
        <v>270</v>
      </c>
      <c r="C361" s="2"/>
      <c r="D361" s="2"/>
      <c r="E361" s="2" t="s">
        <v>61</v>
      </c>
      <c r="F361" s="2"/>
      <c r="G361" s="3"/>
      <c r="H361" s="5"/>
      <c r="I361" s="4"/>
      <c r="J361" s="209">
        <f>J362+J365</f>
        <v>78275.04328</v>
      </c>
      <c r="K361" s="209">
        <f>K362+K365</f>
        <v>72452.41606</v>
      </c>
      <c r="L361" s="209">
        <f>L362+L365</f>
        <v>70625.71432999999</v>
      </c>
      <c r="M361" s="209">
        <f>M362+M365</f>
        <v>74541.61</v>
      </c>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row>
    <row r="362" spans="1:60" ht="30" customHeight="1">
      <c r="A362" s="2"/>
      <c r="B362" s="13" t="s">
        <v>333</v>
      </c>
      <c r="C362" s="2"/>
      <c r="D362" s="2"/>
      <c r="E362" s="2" t="s">
        <v>334</v>
      </c>
      <c r="F362" s="2"/>
      <c r="G362" s="3"/>
      <c r="H362" s="5"/>
      <c r="I362" s="4"/>
      <c r="J362" s="209">
        <f>J363+J364</f>
        <v>62.019999999999996</v>
      </c>
      <c r="K362" s="209">
        <f>K363+K364</f>
        <v>62.019999999999996</v>
      </c>
      <c r="L362" s="209">
        <f>L363+L364</f>
        <v>83.75</v>
      </c>
      <c r="M362" s="209">
        <f>M363+M364</f>
        <v>83.75</v>
      </c>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row>
    <row r="363" spans="1:60" ht="30.75" customHeight="1">
      <c r="A363" s="316"/>
      <c r="B363" s="413" t="s">
        <v>331</v>
      </c>
      <c r="C363" s="2" t="s">
        <v>367</v>
      </c>
      <c r="D363" s="2" t="s">
        <v>297</v>
      </c>
      <c r="E363" s="2" t="s">
        <v>332</v>
      </c>
      <c r="F363" s="2" t="s">
        <v>37</v>
      </c>
      <c r="G363" s="314" t="s">
        <v>616</v>
      </c>
      <c r="H363" s="345" t="s">
        <v>281</v>
      </c>
      <c r="I363" s="345" t="s">
        <v>617</v>
      </c>
      <c r="J363" s="209">
        <v>56.62</v>
      </c>
      <c r="K363" s="209">
        <v>56.62</v>
      </c>
      <c r="L363" s="209">
        <v>83.75</v>
      </c>
      <c r="M363" s="209">
        <v>83.75</v>
      </c>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row>
    <row r="364" spans="1:60" ht="26.25" customHeight="1">
      <c r="A364" s="320"/>
      <c r="B364" s="414"/>
      <c r="C364" s="259" t="s">
        <v>419</v>
      </c>
      <c r="D364" s="2" t="s">
        <v>297</v>
      </c>
      <c r="E364" s="2" t="s">
        <v>332</v>
      </c>
      <c r="F364" s="2" t="s">
        <v>37</v>
      </c>
      <c r="G364" s="359"/>
      <c r="H364" s="346"/>
      <c r="I364" s="346"/>
      <c r="J364" s="209">
        <v>5.4</v>
      </c>
      <c r="K364" s="209">
        <v>5.4</v>
      </c>
      <c r="L364" s="209">
        <v>0</v>
      </c>
      <c r="M364" s="209">
        <v>0</v>
      </c>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row>
    <row r="365" spans="1:60" ht="30" customHeight="1">
      <c r="A365" s="2"/>
      <c r="B365" s="7" t="s">
        <v>271</v>
      </c>
      <c r="C365" s="2"/>
      <c r="D365" s="2"/>
      <c r="E365" s="2" t="s">
        <v>272</v>
      </c>
      <c r="F365" s="2"/>
      <c r="G365" s="3"/>
      <c r="H365" s="5"/>
      <c r="I365" s="4"/>
      <c r="J365" s="209">
        <f>SUM(J366:J375)</f>
        <v>78213.02328</v>
      </c>
      <c r="K365" s="209">
        <f>SUM(K366:K375)</f>
        <v>72390.39606</v>
      </c>
      <c r="L365" s="209">
        <f>SUM(L366:L375)</f>
        <v>70541.96432999999</v>
      </c>
      <c r="M365" s="209">
        <f>SUM(M366:M375)</f>
        <v>74457.86</v>
      </c>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row>
    <row r="366" spans="1:60" ht="15.75">
      <c r="A366" s="316"/>
      <c r="B366" s="360" t="s">
        <v>755</v>
      </c>
      <c r="C366" s="2" t="s">
        <v>341</v>
      </c>
      <c r="D366" s="2" t="s">
        <v>342</v>
      </c>
      <c r="E366" s="2" t="s">
        <v>368</v>
      </c>
      <c r="F366" s="2" t="s">
        <v>37</v>
      </c>
      <c r="G366" s="350" t="s">
        <v>899</v>
      </c>
      <c r="H366" s="352" t="s">
        <v>92</v>
      </c>
      <c r="I366" s="345" t="s">
        <v>298</v>
      </c>
      <c r="J366" s="210">
        <f>2638.3</f>
        <v>2638.3</v>
      </c>
      <c r="K366" s="210">
        <f>2638.3+49.4</f>
        <v>2687.7000000000003</v>
      </c>
      <c r="L366" s="210">
        <v>2638.3</v>
      </c>
      <c r="M366" s="210">
        <v>2638.3</v>
      </c>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row>
    <row r="367" spans="1:60" ht="15.75">
      <c r="A367" s="319"/>
      <c r="B367" s="419"/>
      <c r="C367" s="2" t="s">
        <v>366</v>
      </c>
      <c r="D367" s="2" t="s">
        <v>299</v>
      </c>
      <c r="E367" s="2" t="s">
        <v>368</v>
      </c>
      <c r="F367" s="2" t="s">
        <v>37</v>
      </c>
      <c r="G367" s="358"/>
      <c r="H367" s="353"/>
      <c r="I367" s="365"/>
      <c r="J367" s="210">
        <f>9984.7</f>
        <v>9984.7</v>
      </c>
      <c r="K367" s="210">
        <f>9485.5-15-80-6-148.90214-115-700</f>
        <v>8420.59786</v>
      </c>
      <c r="L367" s="210">
        <v>9235.5</v>
      </c>
      <c r="M367" s="210">
        <v>9485.5</v>
      </c>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row>
    <row r="368" spans="1:60" ht="30">
      <c r="A368" s="319"/>
      <c r="B368" s="420"/>
      <c r="C368" s="2" t="s">
        <v>367</v>
      </c>
      <c r="D368" s="2" t="s">
        <v>297</v>
      </c>
      <c r="E368" s="2" t="s">
        <v>368</v>
      </c>
      <c r="F368" s="2" t="s">
        <v>37</v>
      </c>
      <c r="G368" s="363"/>
      <c r="H368" s="363"/>
      <c r="I368" s="363"/>
      <c r="J368" s="210">
        <v>26667.5</v>
      </c>
      <c r="K368" s="210">
        <v>23781.19931</v>
      </c>
      <c r="L368" s="210">
        <v>25334.1</v>
      </c>
      <c r="M368" s="210">
        <v>25334.1</v>
      </c>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row>
    <row r="369" spans="1:60" ht="105.75" customHeight="1">
      <c r="A369" s="320"/>
      <c r="B369" s="328"/>
      <c r="C369" s="2" t="s">
        <v>347</v>
      </c>
      <c r="D369" s="2" t="s">
        <v>299</v>
      </c>
      <c r="E369" s="2" t="s">
        <v>368</v>
      </c>
      <c r="F369" s="2" t="s">
        <v>37</v>
      </c>
      <c r="G369" s="271" t="s">
        <v>907</v>
      </c>
      <c r="H369" s="271" t="s">
        <v>908</v>
      </c>
      <c r="I369" s="269" t="s">
        <v>909</v>
      </c>
      <c r="J369" s="210">
        <v>3388.7</v>
      </c>
      <c r="K369" s="210">
        <v>3058.7</v>
      </c>
      <c r="L369" s="210">
        <v>3388.7</v>
      </c>
      <c r="M369" s="210">
        <v>3388.7</v>
      </c>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row>
    <row r="370" spans="1:60" ht="49.5" customHeight="1">
      <c r="A370" s="2"/>
      <c r="B370" s="7" t="s">
        <v>335</v>
      </c>
      <c r="C370" s="2" t="s">
        <v>367</v>
      </c>
      <c r="D370" s="2" t="s">
        <v>9</v>
      </c>
      <c r="E370" s="2" t="s">
        <v>336</v>
      </c>
      <c r="F370" s="2" t="s">
        <v>37</v>
      </c>
      <c r="G370" s="97" t="s">
        <v>900</v>
      </c>
      <c r="H370" s="1" t="s">
        <v>345</v>
      </c>
      <c r="I370" s="1" t="s">
        <v>452</v>
      </c>
      <c r="J370" s="209">
        <v>278.5211</v>
      </c>
      <c r="K370" s="209">
        <v>278.5211</v>
      </c>
      <c r="L370" s="209">
        <v>343</v>
      </c>
      <c r="M370" s="209">
        <v>343</v>
      </c>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row>
    <row r="371" spans="1:60" ht="49.5" customHeight="1">
      <c r="A371" s="2"/>
      <c r="B371" s="7" t="s">
        <v>382</v>
      </c>
      <c r="C371" s="2" t="s">
        <v>367</v>
      </c>
      <c r="D371" s="2" t="s">
        <v>297</v>
      </c>
      <c r="E371" s="2" t="s">
        <v>383</v>
      </c>
      <c r="F371" s="2" t="s">
        <v>37</v>
      </c>
      <c r="G371" s="9" t="s">
        <v>618</v>
      </c>
      <c r="H371" s="5" t="s">
        <v>281</v>
      </c>
      <c r="I371" s="5" t="s">
        <v>617</v>
      </c>
      <c r="J371" s="209">
        <v>27.198</v>
      </c>
      <c r="K371" s="209">
        <v>27.198</v>
      </c>
      <c r="L371" s="210">
        <v>0</v>
      </c>
      <c r="M371" s="210">
        <v>0</v>
      </c>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row>
    <row r="372" spans="1:13" ht="72" customHeight="1">
      <c r="A372" s="316"/>
      <c r="B372" s="423" t="s">
        <v>755</v>
      </c>
      <c r="C372" s="2" t="s">
        <v>367</v>
      </c>
      <c r="D372" s="2" t="s">
        <v>330</v>
      </c>
      <c r="E372" s="2" t="s">
        <v>368</v>
      </c>
      <c r="F372" s="2" t="s">
        <v>37</v>
      </c>
      <c r="G372" s="3" t="s">
        <v>901</v>
      </c>
      <c r="H372" s="3" t="s">
        <v>384</v>
      </c>
      <c r="I372" s="4" t="s">
        <v>592</v>
      </c>
      <c r="J372" s="210">
        <v>2694.8</v>
      </c>
      <c r="K372" s="210">
        <v>2694.8</v>
      </c>
      <c r="L372" s="210">
        <v>2694.8</v>
      </c>
      <c r="M372" s="210">
        <v>2694.8</v>
      </c>
    </row>
    <row r="373" spans="1:13" ht="20.25" customHeight="1">
      <c r="A373" s="319"/>
      <c r="B373" s="375"/>
      <c r="C373" s="2" t="s">
        <v>369</v>
      </c>
      <c r="D373" s="2" t="s">
        <v>9</v>
      </c>
      <c r="E373" s="2" t="s">
        <v>368</v>
      </c>
      <c r="F373" s="2" t="s">
        <v>37</v>
      </c>
      <c r="G373" s="411" t="s">
        <v>899</v>
      </c>
      <c r="H373" s="366" t="s">
        <v>281</v>
      </c>
      <c r="I373" s="364" t="s">
        <v>298</v>
      </c>
      <c r="J373" s="309">
        <v>10256.7</v>
      </c>
      <c r="K373" s="309">
        <v>9644.85278</v>
      </c>
      <c r="L373" s="309">
        <v>8743.8</v>
      </c>
      <c r="M373" s="309">
        <v>9743.8</v>
      </c>
    </row>
    <row r="374" spans="1:13" ht="18.75" customHeight="1">
      <c r="A374" s="319"/>
      <c r="B374" s="375"/>
      <c r="C374" s="2" t="s">
        <v>4</v>
      </c>
      <c r="D374" s="2" t="s">
        <v>9</v>
      </c>
      <c r="E374" s="2" t="s">
        <v>368</v>
      </c>
      <c r="F374" s="2" t="s">
        <v>37</v>
      </c>
      <c r="G374" s="411"/>
      <c r="H374" s="366"/>
      <c r="I374" s="364"/>
      <c r="J374" s="209">
        <f>7956.95-0.24582</f>
        <v>7956.70418</v>
      </c>
      <c r="K374" s="209">
        <f>7559.1+141.6-0.24582+241.37283</f>
        <v>7941.827010000001</v>
      </c>
      <c r="L374" s="209">
        <f>7559.1-3.64-285.59567-2500-210</f>
        <v>4559.86433</v>
      </c>
      <c r="M374" s="209">
        <f>7559.1-333.34</f>
        <v>7225.76</v>
      </c>
    </row>
    <row r="375" spans="1:13" ht="18.75" customHeight="1">
      <c r="A375" s="320"/>
      <c r="B375" s="322"/>
      <c r="C375" s="163" t="s">
        <v>419</v>
      </c>
      <c r="D375" s="106" t="s">
        <v>9</v>
      </c>
      <c r="E375" s="2" t="s">
        <v>368</v>
      </c>
      <c r="F375" s="106" t="s">
        <v>37</v>
      </c>
      <c r="G375" s="411"/>
      <c r="H375" s="366"/>
      <c r="I375" s="364"/>
      <c r="J375" s="209">
        <v>14319.9</v>
      </c>
      <c r="K375" s="209">
        <f>13603.9+251.1</f>
        <v>13855</v>
      </c>
      <c r="L375" s="209">
        <v>13603.9</v>
      </c>
      <c r="M375" s="209">
        <v>13603.9</v>
      </c>
    </row>
    <row r="376" spans="1:13" ht="41.25" customHeight="1">
      <c r="A376" s="1"/>
      <c r="B376" s="7" t="s">
        <v>464</v>
      </c>
      <c r="C376" s="246"/>
      <c r="D376" s="247"/>
      <c r="E376" s="10" t="s">
        <v>463</v>
      </c>
      <c r="F376" s="247"/>
      <c r="G376" s="3"/>
      <c r="H376" s="248"/>
      <c r="I376" s="5"/>
      <c r="J376" s="209">
        <f>SUM(J377:J383)</f>
        <v>1230</v>
      </c>
      <c r="K376" s="209">
        <f>SUM(K377:K383)</f>
        <v>1230</v>
      </c>
      <c r="L376" s="209">
        <f>SUM(L377:L383)</f>
        <v>0</v>
      </c>
      <c r="M376" s="209">
        <f>SUM(M377:M383)</f>
        <v>0</v>
      </c>
    </row>
    <row r="377" spans="1:13" ht="66.75" customHeight="1">
      <c r="A377" s="1"/>
      <c r="B377" s="266" t="s">
        <v>812</v>
      </c>
      <c r="C377" s="2" t="s">
        <v>367</v>
      </c>
      <c r="D377" s="247" t="s">
        <v>330</v>
      </c>
      <c r="E377" s="200" t="s">
        <v>811</v>
      </c>
      <c r="F377" s="247" t="s">
        <v>37</v>
      </c>
      <c r="G377" s="3" t="s">
        <v>813</v>
      </c>
      <c r="H377" s="5" t="s">
        <v>281</v>
      </c>
      <c r="I377" s="5" t="s">
        <v>592</v>
      </c>
      <c r="J377" s="209">
        <v>210</v>
      </c>
      <c r="K377" s="209">
        <v>210</v>
      </c>
      <c r="L377" s="209">
        <v>0</v>
      </c>
      <c r="M377" s="209">
        <v>0</v>
      </c>
    </row>
    <row r="378" spans="1:13" ht="30">
      <c r="A378" s="1"/>
      <c r="B378" s="421" t="s">
        <v>952</v>
      </c>
      <c r="C378" s="2" t="s">
        <v>367</v>
      </c>
      <c r="D378" s="294" t="s">
        <v>330</v>
      </c>
      <c r="E378" s="200" t="s">
        <v>951</v>
      </c>
      <c r="F378" s="2" t="s">
        <v>37</v>
      </c>
      <c r="G378" s="350" t="s">
        <v>959</v>
      </c>
      <c r="H378" s="345" t="s">
        <v>281</v>
      </c>
      <c r="I378" s="345" t="s">
        <v>960</v>
      </c>
      <c r="J378" s="209">
        <v>170</v>
      </c>
      <c r="K378" s="209">
        <v>170</v>
      </c>
      <c r="L378" s="209">
        <v>0</v>
      </c>
      <c r="M378" s="209">
        <v>0</v>
      </c>
    </row>
    <row r="379" spans="1:13" ht="30">
      <c r="A379" s="1"/>
      <c r="B379" s="422"/>
      <c r="C379" s="2" t="s">
        <v>367</v>
      </c>
      <c r="D379" s="294" t="s">
        <v>297</v>
      </c>
      <c r="E379" s="200" t="s">
        <v>951</v>
      </c>
      <c r="F379" s="2" t="s">
        <v>37</v>
      </c>
      <c r="G379" s="358"/>
      <c r="H379" s="365"/>
      <c r="I379" s="365"/>
      <c r="J379" s="209">
        <v>396</v>
      </c>
      <c r="K379" s="209">
        <v>396</v>
      </c>
      <c r="L379" s="209">
        <v>0</v>
      </c>
      <c r="M379" s="209">
        <v>0</v>
      </c>
    </row>
    <row r="380" spans="1:13" ht="20.25" customHeight="1">
      <c r="A380" s="1"/>
      <c r="B380" s="416"/>
      <c r="C380" s="2" t="s">
        <v>366</v>
      </c>
      <c r="D380" s="2" t="s">
        <v>299</v>
      </c>
      <c r="E380" s="200" t="s">
        <v>951</v>
      </c>
      <c r="F380" s="2" t="s">
        <v>37</v>
      </c>
      <c r="G380" s="330"/>
      <c r="H380" s="330"/>
      <c r="I380" s="330"/>
      <c r="J380" s="209">
        <v>90</v>
      </c>
      <c r="K380" s="209">
        <v>90</v>
      </c>
      <c r="L380" s="209">
        <v>0</v>
      </c>
      <c r="M380" s="209">
        <v>0</v>
      </c>
    </row>
    <row r="381" spans="1:13" ht="20.25" customHeight="1">
      <c r="A381" s="1"/>
      <c r="B381" s="416"/>
      <c r="C381" s="2" t="s">
        <v>369</v>
      </c>
      <c r="D381" s="2" t="s">
        <v>9</v>
      </c>
      <c r="E381" s="200" t="s">
        <v>951</v>
      </c>
      <c r="F381" s="2" t="s">
        <v>37</v>
      </c>
      <c r="G381" s="330"/>
      <c r="H381" s="330"/>
      <c r="I381" s="330"/>
      <c r="J381" s="209">
        <v>119</v>
      </c>
      <c r="K381" s="209">
        <v>119</v>
      </c>
      <c r="L381" s="209">
        <v>0</v>
      </c>
      <c r="M381" s="209">
        <v>0</v>
      </c>
    </row>
    <row r="382" spans="1:13" ht="20.25" customHeight="1">
      <c r="A382" s="1"/>
      <c r="B382" s="416"/>
      <c r="C382" s="2" t="s">
        <v>4</v>
      </c>
      <c r="D382" s="2" t="s">
        <v>9</v>
      </c>
      <c r="E382" s="200" t="s">
        <v>951</v>
      </c>
      <c r="F382" s="2" t="s">
        <v>37</v>
      </c>
      <c r="G382" s="330"/>
      <c r="H382" s="330"/>
      <c r="I382" s="330"/>
      <c r="J382" s="209">
        <v>84</v>
      </c>
      <c r="K382" s="209">
        <v>84</v>
      </c>
      <c r="L382" s="209">
        <v>0</v>
      </c>
      <c r="M382" s="209">
        <v>0</v>
      </c>
    </row>
    <row r="383" spans="1:13" ht="20.25" customHeight="1">
      <c r="A383" s="1"/>
      <c r="B383" s="335"/>
      <c r="C383" s="293" t="s">
        <v>419</v>
      </c>
      <c r="D383" s="2" t="s">
        <v>9</v>
      </c>
      <c r="E383" s="200" t="s">
        <v>951</v>
      </c>
      <c r="F383" s="2" t="s">
        <v>37</v>
      </c>
      <c r="G383" s="315"/>
      <c r="H383" s="315"/>
      <c r="I383" s="315"/>
      <c r="J383" s="209">
        <v>161</v>
      </c>
      <c r="K383" s="209">
        <v>161</v>
      </c>
      <c r="L383" s="209">
        <v>0</v>
      </c>
      <c r="M383" s="209">
        <v>0</v>
      </c>
    </row>
    <row r="384" spans="1:13" ht="45">
      <c r="A384" s="173" t="s">
        <v>770</v>
      </c>
      <c r="B384" s="226" t="s">
        <v>771</v>
      </c>
      <c r="C384" s="83"/>
      <c r="D384" s="78"/>
      <c r="E384" s="78"/>
      <c r="F384" s="78"/>
      <c r="G384" s="84"/>
      <c r="H384" s="85"/>
      <c r="I384" s="85"/>
      <c r="J384" s="208">
        <f aca="true" t="shared" si="22" ref="J384:M385">J385</f>
        <v>17.48902</v>
      </c>
      <c r="K384" s="208">
        <f t="shared" si="22"/>
        <v>17.48902</v>
      </c>
      <c r="L384" s="208">
        <f t="shared" si="22"/>
        <v>3000</v>
      </c>
      <c r="M384" s="208">
        <f t="shared" si="22"/>
        <v>2000</v>
      </c>
    </row>
    <row r="385" spans="1:13" ht="18.75" customHeight="1">
      <c r="A385" s="1"/>
      <c r="B385" s="99"/>
      <c r="C385" s="223"/>
      <c r="D385" s="224"/>
      <c r="E385" s="2" t="s">
        <v>65</v>
      </c>
      <c r="F385" s="224"/>
      <c r="G385" s="3"/>
      <c r="H385" s="225"/>
      <c r="I385" s="5"/>
      <c r="J385" s="209">
        <f t="shared" si="22"/>
        <v>17.48902</v>
      </c>
      <c r="K385" s="209">
        <f t="shared" si="22"/>
        <v>17.48902</v>
      </c>
      <c r="L385" s="209">
        <f t="shared" si="22"/>
        <v>3000</v>
      </c>
      <c r="M385" s="209">
        <f t="shared" si="22"/>
        <v>2000</v>
      </c>
    </row>
    <row r="386" spans="1:13" ht="55.5" customHeight="1">
      <c r="A386" s="1"/>
      <c r="B386" s="12" t="s">
        <v>881</v>
      </c>
      <c r="C386" s="2" t="s">
        <v>367</v>
      </c>
      <c r="D386" s="2" t="s">
        <v>5</v>
      </c>
      <c r="E386" s="2" t="s">
        <v>108</v>
      </c>
      <c r="F386" s="2" t="s">
        <v>6</v>
      </c>
      <c r="G386" s="3" t="s">
        <v>727</v>
      </c>
      <c r="H386" s="5" t="s">
        <v>281</v>
      </c>
      <c r="I386" s="5" t="s">
        <v>453</v>
      </c>
      <c r="J386" s="209">
        <v>17.48902</v>
      </c>
      <c r="K386" s="209">
        <v>17.48902</v>
      </c>
      <c r="L386" s="209">
        <v>3000</v>
      </c>
      <c r="M386" s="209">
        <f>3000-1000</f>
        <v>2000</v>
      </c>
    </row>
    <row r="387" spans="1:13" ht="135" customHeight="1">
      <c r="A387" s="78" t="s">
        <v>115</v>
      </c>
      <c r="B387" s="79" t="s">
        <v>114</v>
      </c>
      <c r="C387" s="86"/>
      <c r="D387" s="78"/>
      <c r="E387" s="78"/>
      <c r="F387" s="78"/>
      <c r="G387" s="81"/>
      <c r="H387" s="78"/>
      <c r="I387" s="78"/>
      <c r="J387" s="208">
        <f>J388+J399</f>
        <v>55982.25436</v>
      </c>
      <c r="K387" s="208">
        <f>K388+K399</f>
        <v>55982.257359999996</v>
      </c>
      <c r="L387" s="208">
        <f>L388+L399</f>
        <v>48402.715729999996</v>
      </c>
      <c r="M387" s="208">
        <f>M388+M399</f>
        <v>50566.40395</v>
      </c>
    </row>
    <row r="388" spans="1:62" ht="45" customHeight="1">
      <c r="A388" s="105"/>
      <c r="B388" s="50" t="s">
        <v>346</v>
      </c>
      <c r="C388" s="4"/>
      <c r="D388" s="106"/>
      <c r="E388" s="106" t="s">
        <v>65</v>
      </c>
      <c r="F388" s="106"/>
      <c r="G388" s="117"/>
      <c r="H388" s="105"/>
      <c r="I388" s="105"/>
      <c r="J388" s="209">
        <f>J389+J390+J391+J393+J394+J396+J398+J392</f>
        <v>53409.27622</v>
      </c>
      <c r="K388" s="209">
        <f>K389+K390+K391+K393+K394+K396+K398+K392</f>
        <v>53409.27922</v>
      </c>
      <c r="L388" s="209">
        <f>L389+L390+L391+L393+L394+L396+L398+L392</f>
        <v>46798.304189999995</v>
      </c>
      <c r="M388" s="209">
        <f>M389+M390+M391+M393+M394+M396+M398+M392</f>
        <v>48852.97795</v>
      </c>
      <c r="BI388" s="26"/>
      <c r="BJ388" s="26"/>
    </row>
    <row r="389" spans="1:13" ht="147.75" customHeight="1">
      <c r="A389" s="2"/>
      <c r="B389" s="13" t="s">
        <v>720</v>
      </c>
      <c r="C389" s="2" t="s">
        <v>369</v>
      </c>
      <c r="D389" s="2" t="s">
        <v>11</v>
      </c>
      <c r="E389" s="2" t="s">
        <v>511</v>
      </c>
      <c r="F389" s="10" t="s">
        <v>38</v>
      </c>
      <c r="G389" s="135" t="s">
        <v>728</v>
      </c>
      <c r="H389" s="49" t="s">
        <v>553</v>
      </c>
      <c r="I389" s="49" t="s">
        <v>554</v>
      </c>
      <c r="J389" s="309">
        <f>349.73-0.734</f>
        <v>348.99600000000004</v>
      </c>
      <c r="K389" s="309">
        <f>349.733-0.734</f>
        <v>348.999</v>
      </c>
      <c r="L389" s="309">
        <v>349.733</v>
      </c>
      <c r="M389" s="309">
        <v>0</v>
      </c>
    </row>
    <row r="390" spans="1:13" ht="44.25" customHeight="1">
      <c r="A390" s="316"/>
      <c r="B390" s="360" t="s">
        <v>343</v>
      </c>
      <c r="C390" s="2" t="s">
        <v>367</v>
      </c>
      <c r="D390" s="106" t="s">
        <v>9</v>
      </c>
      <c r="E390" s="10" t="s">
        <v>344</v>
      </c>
      <c r="F390" s="106" t="s">
        <v>170</v>
      </c>
      <c r="G390" s="350" t="s">
        <v>869</v>
      </c>
      <c r="H390" s="345" t="s">
        <v>863</v>
      </c>
      <c r="I390" s="345" t="s">
        <v>864</v>
      </c>
      <c r="J390" s="217">
        <v>25041.64074</v>
      </c>
      <c r="K390" s="217">
        <v>25041.64074</v>
      </c>
      <c r="L390" s="217">
        <f>23578.945+1031.7</f>
        <v>24610.645</v>
      </c>
      <c r="M390" s="217">
        <f>23578.945+1031.7</f>
        <v>24610.645</v>
      </c>
    </row>
    <row r="391" spans="1:13" ht="44.25" customHeight="1">
      <c r="A391" s="319"/>
      <c r="B391" s="417"/>
      <c r="C391" s="2" t="s">
        <v>367</v>
      </c>
      <c r="D391" s="106" t="s">
        <v>9</v>
      </c>
      <c r="E391" s="10" t="s">
        <v>344</v>
      </c>
      <c r="F391" s="106" t="s">
        <v>38</v>
      </c>
      <c r="G391" s="358"/>
      <c r="H391" s="365"/>
      <c r="I391" s="365"/>
      <c r="J391" s="217">
        <v>12369.79251</v>
      </c>
      <c r="K391" s="217">
        <v>12369.79251</v>
      </c>
      <c r="L391" s="217">
        <v>8684.277</v>
      </c>
      <c r="M391" s="217">
        <v>8684.277</v>
      </c>
    </row>
    <row r="392" spans="1:13" ht="44.25" customHeight="1">
      <c r="A392" s="319"/>
      <c r="B392" s="417"/>
      <c r="C392" s="2" t="s">
        <v>367</v>
      </c>
      <c r="D392" s="258" t="s">
        <v>9</v>
      </c>
      <c r="E392" s="10" t="s">
        <v>344</v>
      </c>
      <c r="F392" s="258" t="s">
        <v>839</v>
      </c>
      <c r="G392" s="358"/>
      <c r="H392" s="365"/>
      <c r="I392" s="365"/>
      <c r="J392" s="217">
        <f>21.36424+18.5776</f>
        <v>39.94184</v>
      </c>
      <c r="K392" s="217">
        <f>21.36424+18.5776</f>
        <v>39.94184</v>
      </c>
      <c r="L392" s="217">
        <v>0</v>
      </c>
      <c r="M392" s="217">
        <v>0</v>
      </c>
    </row>
    <row r="393" spans="1:13" ht="33.75" customHeight="1">
      <c r="A393" s="320"/>
      <c r="B393" s="418"/>
      <c r="C393" s="2" t="s">
        <v>367</v>
      </c>
      <c r="D393" s="106" t="s">
        <v>9</v>
      </c>
      <c r="E393" s="10" t="s">
        <v>344</v>
      </c>
      <c r="F393" s="106" t="s">
        <v>39</v>
      </c>
      <c r="G393" s="363"/>
      <c r="H393" s="363"/>
      <c r="I393" s="363"/>
      <c r="J393" s="217">
        <v>319.44918</v>
      </c>
      <c r="K393" s="217">
        <v>319.44918</v>
      </c>
      <c r="L393" s="217">
        <v>268.6</v>
      </c>
      <c r="M393" s="217">
        <v>268.6</v>
      </c>
    </row>
    <row r="394" spans="1:13" ht="12.75" customHeight="1">
      <c r="A394" s="316"/>
      <c r="B394" s="415" t="s">
        <v>269</v>
      </c>
      <c r="C394" s="316" t="s">
        <v>366</v>
      </c>
      <c r="D394" s="316" t="s">
        <v>9</v>
      </c>
      <c r="E394" s="316" t="s">
        <v>268</v>
      </c>
      <c r="F394" s="316" t="s">
        <v>170</v>
      </c>
      <c r="G394" s="350" t="s">
        <v>868</v>
      </c>
      <c r="H394" s="345" t="s">
        <v>863</v>
      </c>
      <c r="I394" s="345" t="s">
        <v>867</v>
      </c>
      <c r="J394" s="410">
        <v>13844.50676</v>
      </c>
      <c r="K394" s="410">
        <v>13844.50676</v>
      </c>
      <c r="L394" s="410">
        <v>11440.1</v>
      </c>
      <c r="M394" s="410">
        <v>13844.50676</v>
      </c>
    </row>
    <row r="395" spans="1:13" ht="42.75" customHeight="1">
      <c r="A395" s="319"/>
      <c r="B395" s="427"/>
      <c r="C395" s="320"/>
      <c r="D395" s="320"/>
      <c r="E395" s="320"/>
      <c r="F395" s="320"/>
      <c r="G395" s="358"/>
      <c r="H395" s="365"/>
      <c r="I395" s="365"/>
      <c r="J395" s="370"/>
      <c r="K395" s="370"/>
      <c r="L395" s="370"/>
      <c r="M395" s="370"/>
    </row>
    <row r="396" spans="1:13" ht="26.25" customHeight="1">
      <c r="A396" s="319"/>
      <c r="B396" s="427"/>
      <c r="C396" s="316" t="s">
        <v>366</v>
      </c>
      <c r="D396" s="316" t="s">
        <v>9</v>
      </c>
      <c r="E396" s="316" t="s">
        <v>268</v>
      </c>
      <c r="F396" s="316" t="s">
        <v>38</v>
      </c>
      <c r="G396" s="358"/>
      <c r="H396" s="365"/>
      <c r="I396" s="365"/>
      <c r="J396" s="410">
        <v>1437.06419</v>
      </c>
      <c r="K396" s="410">
        <v>1437.06419</v>
      </c>
      <c r="L396" s="410">
        <v>1437.06419</v>
      </c>
      <c r="M396" s="410">
        <v>1437.06419</v>
      </c>
    </row>
    <row r="397" spans="1:13" ht="27" customHeight="1">
      <c r="A397" s="319"/>
      <c r="B397" s="427"/>
      <c r="C397" s="320"/>
      <c r="D397" s="320"/>
      <c r="E397" s="320"/>
      <c r="F397" s="320"/>
      <c r="G397" s="358"/>
      <c r="H397" s="365"/>
      <c r="I397" s="365"/>
      <c r="J397" s="370"/>
      <c r="K397" s="370"/>
      <c r="L397" s="370"/>
      <c r="M397" s="370"/>
    </row>
    <row r="398" spans="1:13" ht="71.25" customHeight="1">
      <c r="A398" s="320"/>
      <c r="B398" s="340"/>
      <c r="C398" s="105" t="s">
        <v>366</v>
      </c>
      <c r="D398" s="105" t="s">
        <v>9</v>
      </c>
      <c r="E398" s="105" t="s">
        <v>268</v>
      </c>
      <c r="F398" s="105" t="s">
        <v>39</v>
      </c>
      <c r="G398" s="363"/>
      <c r="H398" s="363"/>
      <c r="I398" s="363"/>
      <c r="J398" s="211">
        <v>7.885</v>
      </c>
      <c r="K398" s="211">
        <v>7.885</v>
      </c>
      <c r="L398" s="211">
        <v>7.885</v>
      </c>
      <c r="M398" s="211">
        <v>7.885</v>
      </c>
    </row>
    <row r="399" spans="1:13" ht="51" customHeight="1">
      <c r="A399" s="105"/>
      <c r="B399" s="143" t="s">
        <v>393</v>
      </c>
      <c r="C399" s="105"/>
      <c r="D399" s="105"/>
      <c r="E399" s="105" t="s">
        <v>51</v>
      </c>
      <c r="F399" s="105"/>
      <c r="G399" s="156"/>
      <c r="H399" s="156"/>
      <c r="I399" s="156"/>
      <c r="J399" s="211">
        <f>J400+J401+J402</f>
        <v>2572.97814</v>
      </c>
      <c r="K399" s="211">
        <f>K400+K401+K402</f>
        <v>2572.97814</v>
      </c>
      <c r="L399" s="211">
        <f>L400+L401+L402</f>
        <v>1604.4115399999998</v>
      </c>
      <c r="M399" s="211">
        <f>M400+M401+M402</f>
        <v>1713.426</v>
      </c>
    </row>
    <row r="400" spans="1:13" ht="36" customHeight="1">
      <c r="A400" s="316"/>
      <c r="B400" s="376" t="s">
        <v>392</v>
      </c>
      <c r="C400" s="2" t="s">
        <v>367</v>
      </c>
      <c r="D400" s="105" t="s">
        <v>91</v>
      </c>
      <c r="E400" s="105" t="s">
        <v>388</v>
      </c>
      <c r="F400" s="105" t="s">
        <v>170</v>
      </c>
      <c r="G400" s="350" t="s">
        <v>889</v>
      </c>
      <c r="H400" s="345" t="s">
        <v>890</v>
      </c>
      <c r="I400" s="345" t="s">
        <v>891</v>
      </c>
      <c r="J400" s="210">
        <v>1552.282</v>
      </c>
      <c r="K400" s="210">
        <v>1552.282</v>
      </c>
      <c r="L400" s="210">
        <v>808.534</v>
      </c>
      <c r="M400" s="210">
        <v>822.134</v>
      </c>
    </row>
    <row r="401" spans="1:13" ht="87.75" customHeight="1">
      <c r="A401" s="319"/>
      <c r="B401" s="383"/>
      <c r="C401" s="2" t="s">
        <v>367</v>
      </c>
      <c r="D401" s="105" t="s">
        <v>91</v>
      </c>
      <c r="E401" s="105" t="s">
        <v>388</v>
      </c>
      <c r="F401" s="105" t="s">
        <v>38</v>
      </c>
      <c r="G401" s="362"/>
      <c r="H401" s="362"/>
      <c r="I401" s="362"/>
      <c r="J401" s="210">
        <v>929.70414</v>
      </c>
      <c r="K401" s="210">
        <v>929.70414</v>
      </c>
      <c r="L401" s="210">
        <v>720.28954</v>
      </c>
      <c r="M401" s="210">
        <v>815.704</v>
      </c>
    </row>
    <row r="402" spans="1:13" ht="93" customHeight="1">
      <c r="A402" s="320"/>
      <c r="B402" s="340"/>
      <c r="C402" s="2" t="s">
        <v>367</v>
      </c>
      <c r="D402" s="105" t="s">
        <v>91</v>
      </c>
      <c r="E402" s="105" t="s">
        <v>388</v>
      </c>
      <c r="F402" s="105" t="s">
        <v>39</v>
      </c>
      <c r="G402" s="363"/>
      <c r="H402" s="363"/>
      <c r="I402" s="363"/>
      <c r="J402" s="210">
        <v>90.992</v>
      </c>
      <c r="K402" s="210">
        <v>90.992</v>
      </c>
      <c r="L402" s="210">
        <v>75.588</v>
      </c>
      <c r="M402" s="210">
        <v>75.588</v>
      </c>
    </row>
    <row r="403" spans="1:60" ht="45" customHeight="1">
      <c r="A403" s="78" t="s">
        <v>374</v>
      </c>
      <c r="B403" s="79" t="s">
        <v>120</v>
      </c>
      <c r="C403" s="78"/>
      <c r="D403" s="78"/>
      <c r="E403" s="101"/>
      <c r="F403" s="78"/>
      <c r="G403" s="102"/>
      <c r="H403" s="85"/>
      <c r="I403" s="85"/>
      <c r="J403" s="208">
        <f>J404</f>
        <v>6085.76449</v>
      </c>
      <c r="K403" s="208">
        <f>K404</f>
        <v>6085.76449</v>
      </c>
      <c r="L403" s="208">
        <f>L404</f>
        <v>0</v>
      </c>
      <c r="M403" s="208">
        <f>M404</f>
        <v>0</v>
      </c>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row>
    <row r="404" spans="1:60" ht="45" customHeight="1">
      <c r="A404" s="2"/>
      <c r="B404" s="6" t="s">
        <v>99</v>
      </c>
      <c r="C404" s="2"/>
      <c r="D404" s="2"/>
      <c r="E404" s="10" t="s">
        <v>61</v>
      </c>
      <c r="F404" s="2"/>
      <c r="G404" s="98"/>
      <c r="H404" s="96"/>
      <c r="I404" s="96"/>
      <c r="J404" s="209">
        <f>K405</f>
        <v>6085.76449</v>
      </c>
      <c r="K404" s="209">
        <f>K405</f>
        <v>6085.76449</v>
      </c>
      <c r="L404" s="209">
        <f>L405</f>
        <v>0</v>
      </c>
      <c r="M404" s="209">
        <f>M405</f>
        <v>0</v>
      </c>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row>
    <row r="405" spans="1:60" ht="142.5" customHeight="1">
      <c r="A405" s="2"/>
      <c r="B405" s="6" t="s">
        <v>112</v>
      </c>
      <c r="C405" s="2" t="s">
        <v>367</v>
      </c>
      <c r="D405" s="2" t="s">
        <v>89</v>
      </c>
      <c r="E405" s="2" t="s">
        <v>100</v>
      </c>
      <c r="F405" s="2" t="s">
        <v>90</v>
      </c>
      <c r="G405" s="9" t="s">
        <v>555</v>
      </c>
      <c r="H405" s="5" t="s">
        <v>450</v>
      </c>
      <c r="I405" s="5" t="s">
        <v>451</v>
      </c>
      <c r="J405" s="209">
        <v>6085.76449</v>
      </c>
      <c r="K405" s="209">
        <v>6085.76449</v>
      </c>
      <c r="L405" s="209">
        <v>0</v>
      </c>
      <c r="M405" s="209">
        <v>0</v>
      </c>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row>
    <row r="406" spans="1:60" ht="142.5">
      <c r="A406" s="37" t="s">
        <v>466</v>
      </c>
      <c r="B406" s="38" t="s">
        <v>467</v>
      </c>
      <c r="C406" s="42"/>
      <c r="D406" s="42"/>
      <c r="E406" s="42"/>
      <c r="F406" s="42"/>
      <c r="G406" s="42"/>
      <c r="H406" s="42"/>
      <c r="I406" s="42"/>
      <c r="J406" s="207">
        <f>J407+J420</f>
        <v>67045.92115</v>
      </c>
      <c r="K406" s="207">
        <f>K407+K420</f>
        <v>67044.88881</v>
      </c>
      <c r="L406" s="207">
        <f>L407+L420</f>
        <v>54546.70568</v>
      </c>
      <c r="M406" s="207">
        <f>M407+M420</f>
        <v>50681.75928</v>
      </c>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row>
    <row r="407" spans="1:60" ht="28.5">
      <c r="A407" s="42">
        <v>3101</v>
      </c>
      <c r="B407" s="160" t="s">
        <v>465</v>
      </c>
      <c r="C407" s="42"/>
      <c r="D407" s="42"/>
      <c r="E407" s="42"/>
      <c r="F407" s="42"/>
      <c r="G407" s="42"/>
      <c r="H407" s="42"/>
      <c r="I407" s="42"/>
      <c r="J407" s="207">
        <f>J408+J413</f>
        <v>1553.8</v>
      </c>
      <c r="K407" s="207">
        <f>K408+K413</f>
        <v>1553.8</v>
      </c>
      <c r="L407" s="207">
        <f>L408+L413+L417</f>
        <v>2737.9979999999996</v>
      </c>
      <c r="M407" s="207">
        <f>M408+M413</f>
        <v>1520.1</v>
      </c>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row>
    <row r="408" spans="1:60" ht="30">
      <c r="A408" s="83">
        <v>3102</v>
      </c>
      <c r="B408" s="82" t="s">
        <v>626</v>
      </c>
      <c r="C408" s="191"/>
      <c r="D408" s="191"/>
      <c r="E408" s="191"/>
      <c r="F408" s="191"/>
      <c r="G408" s="191"/>
      <c r="H408" s="191"/>
      <c r="I408" s="191"/>
      <c r="J408" s="208">
        <f aca="true" t="shared" si="23" ref="J408:M409">J409</f>
        <v>1517.5</v>
      </c>
      <c r="K408" s="208">
        <f t="shared" si="23"/>
        <v>1517.5</v>
      </c>
      <c r="L408" s="208">
        <f t="shared" si="23"/>
        <v>1517.5</v>
      </c>
      <c r="M408" s="208">
        <f t="shared" si="23"/>
        <v>1517.5</v>
      </c>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row>
    <row r="409" spans="1:60" ht="30">
      <c r="A409" s="4"/>
      <c r="B409" s="6" t="s">
        <v>99</v>
      </c>
      <c r="C409" s="192"/>
      <c r="D409" s="192"/>
      <c r="E409" s="10" t="s">
        <v>61</v>
      </c>
      <c r="F409" s="192"/>
      <c r="G409" s="192"/>
      <c r="H409" s="192"/>
      <c r="I409" s="192"/>
      <c r="J409" s="209">
        <f t="shared" si="23"/>
        <v>1517.5</v>
      </c>
      <c r="K409" s="209">
        <f t="shared" si="23"/>
        <v>1517.5</v>
      </c>
      <c r="L409" s="209">
        <f t="shared" si="23"/>
        <v>1517.5</v>
      </c>
      <c r="M409" s="209">
        <f t="shared" si="23"/>
        <v>1517.5</v>
      </c>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row>
    <row r="410" spans="1:60" ht="30">
      <c r="A410" s="4"/>
      <c r="B410" s="190" t="s">
        <v>271</v>
      </c>
      <c r="C410" s="192"/>
      <c r="D410" s="192"/>
      <c r="E410" s="10" t="s">
        <v>272</v>
      </c>
      <c r="F410" s="192"/>
      <c r="G410" s="192"/>
      <c r="H410" s="192"/>
      <c r="I410" s="192"/>
      <c r="J410" s="209">
        <f>J411+J412</f>
        <v>1517.5</v>
      </c>
      <c r="K410" s="209">
        <f>K411+K412</f>
        <v>1517.5</v>
      </c>
      <c r="L410" s="209">
        <f>L411+L412</f>
        <v>1517.5</v>
      </c>
      <c r="M410" s="209">
        <f>M411+M412</f>
        <v>1517.5</v>
      </c>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row>
    <row r="411" spans="1:60" ht="30">
      <c r="A411" s="4"/>
      <c r="B411" s="339" t="s">
        <v>629</v>
      </c>
      <c r="C411" s="2" t="s">
        <v>367</v>
      </c>
      <c r="D411" s="2" t="s">
        <v>9</v>
      </c>
      <c r="E411" s="2" t="s">
        <v>628</v>
      </c>
      <c r="F411" s="4">
        <v>120</v>
      </c>
      <c r="G411" s="314" t="s">
        <v>902</v>
      </c>
      <c r="H411" s="317" t="s">
        <v>630</v>
      </c>
      <c r="I411" s="317" t="s">
        <v>631</v>
      </c>
      <c r="J411" s="296">
        <v>1378.61822</v>
      </c>
      <c r="K411" s="209">
        <v>1378.61822</v>
      </c>
      <c r="L411" s="209">
        <v>1348.4</v>
      </c>
      <c r="M411" s="209">
        <v>1348.4</v>
      </c>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row>
    <row r="412" spans="1:60" ht="30">
      <c r="A412" s="4"/>
      <c r="B412" s="340"/>
      <c r="C412" s="2" t="s">
        <v>367</v>
      </c>
      <c r="D412" s="2" t="s">
        <v>9</v>
      </c>
      <c r="E412" s="2" t="s">
        <v>628</v>
      </c>
      <c r="F412" s="4">
        <v>240</v>
      </c>
      <c r="G412" s="363"/>
      <c r="H412" s="315"/>
      <c r="I412" s="315"/>
      <c r="J412" s="296">
        <v>138.88178</v>
      </c>
      <c r="K412" s="209">
        <v>138.88178</v>
      </c>
      <c r="L412" s="209">
        <v>169.1</v>
      </c>
      <c r="M412" s="209">
        <v>169.1</v>
      </c>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row>
    <row r="413" spans="1:60" ht="30">
      <c r="A413" s="83">
        <v>3103</v>
      </c>
      <c r="B413" s="82" t="s">
        <v>627</v>
      </c>
      <c r="C413" s="191"/>
      <c r="D413" s="191"/>
      <c r="E413" s="191"/>
      <c r="F413" s="191"/>
      <c r="G413" s="191"/>
      <c r="H413" s="191"/>
      <c r="I413" s="191"/>
      <c r="J413" s="208">
        <f aca="true" t="shared" si="24" ref="J413:M415">J414</f>
        <v>36.3</v>
      </c>
      <c r="K413" s="208">
        <f t="shared" si="24"/>
        <v>36.3</v>
      </c>
      <c r="L413" s="208">
        <f t="shared" si="24"/>
        <v>2.6</v>
      </c>
      <c r="M413" s="208">
        <f t="shared" si="24"/>
        <v>2.6</v>
      </c>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row>
    <row r="414" spans="1:60" ht="30">
      <c r="A414" s="4"/>
      <c r="B414" s="6" t="s">
        <v>99</v>
      </c>
      <c r="C414" s="192"/>
      <c r="D414" s="192"/>
      <c r="E414" s="10" t="s">
        <v>61</v>
      </c>
      <c r="F414" s="192"/>
      <c r="G414" s="192"/>
      <c r="H414" s="192"/>
      <c r="I414" s="192"/>
      <c r="J414" s="209">
        <f t="shared" si="24"/>
        <v>36.3</v>
      </c>
      <c r="K414" s="209">
        <f t="shared" si="24"/>
        <v>36.3</v>
      </c>
      <c r="L414" s="209">
        <f t="shared" si="24"/>
        <v>2.6</v>
      </c>
      <c r="M414" s="209">
        <f t="shared" si="24"/>
        <v>2.6</v>
      </c>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row>
    <row r="415" spans="1:60" ht="30">
      <c r="A415" s="4"/>
      <c r="B415" s="190" t="s">
        <v>271</v>
      </c>
      <c r="C415" s="192"/>
      <c r="D415" s="192"/>
      <c r="E415" s="10" t="s">
        <v>272</v>
      </c>
      <c r="F415" s="192"/>
      <c r="G415" s="192"/>
      <c r="H415" s="192"/>
      <c r="I415" s="192"/>
      <c r="J415" s="209">
        <f t="shared" si="24"/>
        <v>36.3</v>
      </c>
      <c r="K415" s="209">
        <f t="shared" si="24"/>
        <v>36.3</v>
      </c>
      <c r="L415" s="209">
        <f t="shared" si="24"/>
        <v>2.6</v>
      </c>
      <c r="M415" s="209">
        <f t="shared" si="24"/>
        <v>2.6</v>
      </c>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row>
    <row r="416" spans="1:60" ht="90.75" customHeight="1">
      <c r="A416" s="4"/>
      <c r="B416" s="11" t="s">
        <v>633</v>
      </c>
      <c r="C416" s="2" t="s">
        <v>367</v>
      </c>
      <c r="D416" s="2" t="s">
        <v>632</v>
      </c>
      <c r="E416" s="2" t="s">
        <v>634</v>
      </c>
      <c r="F416" s="4">
        <v>240</v>
      </c>
      <c r="G416" s="124" t="s">
        <v>721</v>
      </c>
      <c r="H416" s="105" t="s">
        <v>281</v>
      </c>
      <c r="I416" s="105" t="s">
        <v>635</v>
      </c>
      <c r="J416" s="209">
        <v>36.3</v>
      </c>
      <c r="K416" s="209">
        <v>36.3</v>
      </c>
      <c r="L416" s="209">
        <v>2.6</v>
      </c>
      <c r="M416" s="209">
        <v>2.6</v>
      </c>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row>
    <row r="417" spans="1:60" ht="75">
      <c r="A417" s="83">
        <v>3117</v>
      </c>
      <c r="B417" s="82" t="s">
        <v>490</v>
      </c>
      <c r="C417" s="78"/>
      <c r="D417" s="78"/>
      <c r="E417" s="78"/>
      <c r="F417" s="83"/>
      <c r="G417" s="126"/>
      <c r="H417" s="132"/>
      <c r="I417" s="132"/>
      <c r="J417" s="208">
        <f aca="true" t="shared" si="25" ref="J417:M418">J418</f>
        <v>0</v>
      </c>
      <c r="K417" s="208">
        <f t="shared" si="25"/>
        <v>0</v>
      </c>
      <c r="L417" s="208">
        <f t="shared" si="25"/>
        <v>1217.898</v>
      </c>
      <c r="M417" s="208">
        <f t="shared" si="25"/>
        <v>0</v>
      </c>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row>
    <row r="418" spans="1:60" ht="45">
      <c r="A418" s="4"/>
      <c r="B418" s="50" t="s">
        <v>346</v>
      </c>
      <c r="C418" s="2"/>
      <c r="D418" s="2"/>
      <c r="E418" s="106" t="s">
        <v>65</v>
      </c>
      <c r="F418" s="4"/>
      <c r="G418" s="124"/>
      <c r="H418" s="105"/>
      <c r="I418" s="105"/>
      <c r="J418" s="209">
        <f t="shared" si="25"/>
        <v>0</v>
      </c>
      <c r="K418" s="209">
        <f t="shared" si="25"/>
        <v>0</v>
      </c>
      <c r="L418" s="209">
        <f t="shared" si="25"/>
        <v>1217.898</v>
      </c>
      <c r="M418" s="209">
        <f t="shared" si="25"/>
        <v>0</v>
      </c>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row>
    <row r="419" spans="1:60" ht="78" customHeight="1">
      <c r="A419" s="4"/>
      <c r="B419" s="11" t="s">
        <v>663</v>
      </c>
      <c r="C419" s="2" t="s">
        <v>369</v>
      </c>
      <c r="D419" s="2" t="s">
        <v>11</v>
      </c>
      <c r="E419" s="2" t="s">
        <v>664</v>
      </c>
      <c r="F419" s="4">
        <v>320</v>
      </c>
      <c r="G419" s="197" t="s">
        <v>722</v>
      </c>
      <c r="H419" s="105" t="s">
        <v>281</v>
      </c>
      <c r="I419" s="196" t="s">
        <v>665</v>
      </c>
      <c r="J419" s="209">
        <v>0</v>
      </c>
      <c r="K419" s="209">
        <v>0</v>
      </c>
      <c r="L419" s="309">
        <v>1217.898</v>
      </c>
      <c r="M419" s="209">
        <v>0</v>
      </c>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row>
    <row r="420" spans="1:60" ht="32.25" customHeight="1">
      <c r="A420" s="37" t="s">
        <v>456</v>
      </c>
      <c r="B420" s="38" t="s">
        <v>457</v>
      </c>
      <c r="C420" s="42"/>
      <c r="D420" s="42"/>
      <c r="E420" s="42"/>
      <c r="F420" s="42"/>
      <c r="G420" s="42"/>
      <c r="H420" s="42"/>
      <c r="I420" s="42"/>
      <c r="J420" s="207">
        <f>J421+J433+J476+J466+J455+J448+J489+J486</f>
        <v>65492.12114999999</v>
      </c>
      <c r="K420" s="207">
        <f>K421+K433+K476+K466+K455+K448+K489+K486</f>
        <v>65491.08881</v>
      </c>
      <c r="L420" s="207">
        <f>L421+L433+L476+L466+L455+L448+L489+L486</f>
        <v>51808.70768</v>
      </c>
      <c r="M420" s="207">
        <f>M421+M433+M476+M466+M455+M448+M489+M486</f>
        <v>49161.65928</v>
      </c>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row>
    <row r="421" spans="1:60" ht="60">
      <c r="A421" s="78" t="s">
        <v>458</v>
      </c>
      <c r="B421" s="87" t="s">
        <v>459</v>
      </c>
      <c r="C421" s="78"/>
      <c r="D421" s="78"/>
      <c r="E421" s="78"/>
      <c r="F421" s="78"/>
      <c r="G421" s="78"/>
      <c r="H421" s="78"/>
      <c r="I421" s="78"/>
      <c r="J421" s="208">
        <f>J426+J422+J430</f>
        <v>235.24280000000002</v>
      </c>
      <c r="K421" s="208">
        <f>K426+K422+K430</f>
        <v>234.21046</v>
      </c>
      <c r="L421" s="208">
        <f>L426+L422+L430</f>
        <v>548.4</v>
      </c>
      <c r="M421" s="208">
        <f>M426+M422+M430</f>
        <v>548.4</v>
      </c>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row>
    <row r="422" spans="1:60" ht="30">
      <c r="A422" s="2"/>
      <c r="B422" s="194" t="s">
        <v>99</v>
      </c>
      <c r="C422" s="2"/>
      <c r="D422" s="2"/>
      <c r="E422" s="193" t="s">
        <v>61</v>
      </c>
      <c r="F422" s="2"/>
      <c r="G422" s="105"/>
      <c r="H422" s="2"/>
      <c r="I422" s="105"/>
      <c r="J422" s="209">
        <f>J423</f>
        <v>197.3428</v>
      </c>
      <c r="K422" s="209">
        <f>K423</f>
        <v>196.31046</v>
      </c>
      <c r="L422" s="209">
        <f>L423</f>
        <v>520.3</v>
      </c>
      <c r="M422" s="209">
        <f>M423</f>
        <v>520.3</v>
      </c>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row>
    <row r="423" spans="1:60" ht="30">
      <c r="A423" s="2"/>
      <c r="B423" s="158" t="s">
        <v>271</v>
      </c>
      <c r="C423" s="2"/>
      <c r="D423" s="2"/>
      <c r="E423" s="193" t="s">
        <v>272</v>
      </c>
      <c r="F423" s="2"/>
      <c r="G423" s="105"/>
      <c r="H423" s="2"/>
      <c r="I423" s="105"/>
      <c r="J423" s="209">
        <f>J424+J425</f>
        <v>197.3428</v>
      </c>
      <c r="K423" s="209">
        <f>K424+K425</f>
        <v>196.31046</v>
      </c>
      <c r="L423" s="209">
        <f>L424+L425</f>
        <v>520.3</v>
      </c>
      <c r="M423" s="209">
        <f>M424+M425</f>
        <v>520.3</v>
      </c>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row>
    <row r="424" spans="1:60" ht="177.75" customHeight="1">
      <c r="A424" s="2"/>
      <c r="B424" s="12" t="s">
        <v>648</v>
      </c>
      <c r="C424" s="2" t="s">
        <v>367</v>
      </c>
      <c r="D424" s="2" t="s">
        <v>297</v>
      </c>
      <c r="E424" s="2" t="s">
        <v>649</v>
      </c>
      <c r="F424" s="2" t="s">
        <v>38</v>
      </c>
      <c r="G424" s="129" t="s">
        <v>903</v>
      </c>
      <c r="H424" s="105" t="s">
        <v>650</v>
      </c>
      <c r="I424" s="105" t="s">
        <v>651</v>
      </c>
      <c r="J424" s="209">
        <v>92.20019</v>
      </c>
      <c r="K424" s="209">
        <v>92.19019</v>
      </c>
      <c r="L424" s="209">
        <v>391.6</v>
      </c>
      <c r="M424" s="209">
        <v>391.6</v>
      </c>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row>
    <row r="425" spans="1:60" ht="69.75" customHeight="1">
      <c r="A425" s="2"/>
      <c r="B425" s="12" t="s">
        <v>701</v>
      </c>
      <c r="C425" s="2" t="s">
        <v>367</v>
      </c>
      <c r="D425" s="2" t="s">
        <v>297</v>
      </c>
      <c r="E425" s="200" t="s">
        <v>700</v>
      </c>
      <c r="F425" s="2" t="s">
        <v>38</v>
      </c>
      <c r="G425" s="129" t="s">
        <v>904</v>
      </c>
      <c r="H425" s="105" t="s">
        <v>702</v>
      </c>
      <c r="I425" s="105" t="s">
        <v>703</v>
      </c>
      <c r="J425" s="209">
        <v>105.14261</v>
      </c>
      <c r="K425" s="209">
        <v>104.12027</v>
      </c>
      <c r="L425" s="209">
        <v>128.7</v>
      </c>
      <c r="M425" s="209">
        <v>128.7</v>
      </c>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row>
    <row r="426" spans="1:60" ht="45">
      <c r="A426" s="2"/>
      <c r="B426" s="158" t="s">
        <v>214</v>
      </c>
      <c r="C426" s="2"/>
      <c r="D426" s="2"/>
      <c r="E426" s="193" t="s">
        <v>51</v>
      </c>
      <c r="F426" s="2"/>
      <c r="G426" s="105"/>
      <c r="H426" s="2"/>
      <c r="I426" s="105"/>
      <c r="J426" s="209">
        <f>J427</f>
        <v>18.3</v>
      </c>
      <c r="K426" s="209">
        <f>K427</f>
        <v>18.3</v>
      </c>
      <c r="L426" s="209">
        <f>L427</f>
        <v>19.099999999999998</v>
      </c>
      <c r="M426" s="209">
        <f>M427</f>
        <v>19.099999999999998</v>
      </c>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row>
    <row r="427" spans="1:60" ht="45">
      <c r="A427" s="2"/>
      <c r="B427" s="158" t="s">
        <v>389</v>
      </c>
      <c r="C427" s="2"/>
      <c r="D427" s="2"/>
      <c r="E427" s="2" t="s">
        <v>390</v>
      </c>
      <c r="F427" s="2"/>
      <c r="G427" s="105"/>
      <c r="H427" s="2"/>
      <c r="I427" s="105"/>
      <c r="J427" s="209">
        <f>J428+J429</f>
        <v>18.3</v>
      </c>
      <c r="K427" s="209">
        <f>K428+K429</f>
        <v>18.3</v>
      </c>
      <c r="L427" s="209">
        <f>L428+L429</f>
        <v>19.099999999999998</v>
      </c>
      <c r="M427" s="209">
        <f>M428+M429</f>
        <v>19.099999999999998</v>
      </c>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row>
    <row r="428" spans="1:60" ht="112.5" customHeight="1">
      <c r="A428" s="2"/>
      <c r="B428" s="12" t="s">
        <v>636</v>
      </c>
      <c r="C428" s="2" t="s">
        <v>367</v>
      </c>
      <c r="D428" s="2" t="s">
        <v>41</v>
      </c>
      <c r="E428" s="4" t="s">
        <v>637</v>
      </c>
      <c r="F428" s="2" t="s">
        <v>38</v>
      </c>
      <c r="G428" s="98" t="s">
        <v>723</v>
      </c>
      <c r="H428" s="1" t="s">
        <v>281</v>
      </c>
      <c r="I428" s="1" t="s">
        <v>638</v>
      </c>
      <c r="J428" s="209">
        <v>0.6</v>
      </c>
      <c r="K428" s="209">
        <v>0.6</v>
      </c>
      <c r="L428" s="209">
        <v>1.4</v>
      </c>
      <c r="M428" s="209">
        <v>1.4</v>
      </c>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row>
    <row r="429" spans="1:60" ht="62.25" customHeight="1">
      <c r="A429" s="2"/>
      <c r="B429" s="12" t="s">
        <v>647</v>
      </c>
      <c r="C429" s="2" t="s">
        <v>367</v>
      </c>
      <c r="D429" s="2" t="s">
        <v>91</v>
      </c>
      <c r="E429" s="2" t="s">
        <v>645</v>
      </c>
      <c r="F429" s="2" t="s">
        <v>38</v>
      </c>
      <c r="G429" s="3" t="s">
        <v>905</v>
      </c>
      <c r="H429" s="2" t="s">
        <v>92</v>
      </c>
      <c r="I429" s="2" t="s">
        <v>646</v>
      </c>
      <c r="J429" s="209">
        <v>17.7</v>
      </c>
      <c r="K429" s="209">
        <v>17.7</v>
      </c>
      <c r="L429" s="209">
        <v>17.7</v>
      </c>
      <c r="M429" s="209">
        <v>17.7</v>
      </c>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row>
    <row r="430" spans="1:60" ht="34.5" customHeight="1">
      <c r="A430" s="2"/>
      <c r="B430" s="7" t="s">
        <v>464</v>
      </c>
      <c r="C430" s="2"/>
      <c r="D430" s="2"/>
      <c r="E430" s="2" t="s">
        <v>463</v>
      </c>
      <c r="F430" s="2"/>
      <c r="G430" s="3"/>
      <c r="H430" s="2"/>
      <c r="I430" s="2"/>
      <c r="J430" s="209">
        <f>J431+J432</f>
        <v>19.6</v>
      </c>
      <c r="K430" s="209">
        <f>K431+K432</f>
        <v>19.6</v>
      </c>
      <c r="L430" s="209">
        <f>L431+L432</f>
        <v>9</v>
      </c>
      <c r="M430" s="209">
        <f>M431+M432</f>
        <v>9</v>
      </c>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row>
    <row r="431" spans="1:60" ht="85.5" customHeight="1">
      <c r="A431" s="2"/>
      <c r="B431" s="90" t="s">
        <v>501</v>
      </c>
      <c r="C431" s="292" t="s">
        <v>497</v>
      </c>
      <c r="D431" s="1" t="s">
        <v>9</v>
      </c>
      <c r="E431" s="1" t="s">
        <v>502</v>
      </c>
      <c r="F431" s="2" t="s">
        <v>38</v>
      </c>
      <c r="G431" s="124" t="s">
        <v>652</v>
      </c>
      <c r="H431" s="5" t="s">
        <v>561</v>
      </c>
      <c r="I431" s="171" t="s">
        <v>558</v>
      </c>
      <c r="J431" s="209">
        <v>9</v>
      </c>
      <c r="K431" s="209">
        <v>9</v>
      </c>
      <c r="L431" s="209">
        <v>9</v>
      </c>
      <c r="M431" s="209">
        <v>9</v>
      </c>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row>
    <row r="432" spans="1:60" ht="90" customHeight="1">
      <c r="A432" s="2"/>
      <c r="B432" s="7" t="s">
        <v>969</v>
      </c>
      <c r="C432" s="293" t="s">
        <v>497</v>
      </c>
      <c r="D432" s="2" t="s">
        <v>41</v>
      </c>
      <c r="E432" s="2" t="s">
        <v>970</v>
      </c>
      <c r="F432" s="10" t="s">
        <v>38</v>
      </c>
      <c r="G432" s="9" t="s">
        <v>999</v>
      </c>
      <c r="H432" s="2" t="s">
        <v>281</v>
      </c>
      <c r="I432" s="2" t="s">
        <v>1000</v>
      </c>
      <c r="J432" s="209">
        <v>10.6</v>
      </c>
      <c r="K432" s="209">
        <v>10.6</v>
      </c>
      <c r="L432" s="209">
        <v>0</v>
      </c>
      <c r="M432" s="209">
        <v>0</v>
      </c>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row>
    <row r="433" spans="1:60" ht="60">
      <c r="A433" s="78" t="s">
        <v>461</v>
      </c>
      <c r="B433" s="87" t="s">
        <v>462</v>
      </c>
      <c r="C433" s="78"/>
      <c r="D433" s="78"/>
      <c r="E433" s="78"/>
      <c r="F433" s="78"/>
      <c r="G433" s="78"/>
      <c r="H433" s="78"/>
      <c r="I433" s="78"/>
      <c r="J433" s="208">
        <f>J443+J438+J434</f>
        <v>3189.44654</v>
      </c>
      <c r="K433" s="208">
        <f>K443+K438+K434</f>
        <v>3189.44654</v>
      </c>
      <c r="L433" s="208">
        <f>L443+L438+L434</f>
        <v>2503.02</v>
      </c>
      <c r="M433" s="208">
        <f>M443+M438+M434</f>
        <v>2503.02</v>
      </c>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row>
    <row r="434" spans="1:60" ht="30">
      <c r="A434" s="2"/>
      <c r="B434" s="194" t="s">
        <v>99</v>
      </c>
      <c r="C434" s="2"/>
      <c r="D434" s="2"/>
      <c r="E434" s="193" t="s">
        <v>61</v>
      </c>
      <c r="F434" s="2"/>
      <c r="G434" s="105"/>
      <c r="H434" s="2"/>
      <c r="I434" s="105"/>
      <c r="J434" s="209">
        <f>J435</f>
        <v>2372.6895400000003</v>
      </c>
      <c r="K434" s="209">
        <f>K435</f>
        <v>2372.6895400000003</v>
      </c>
      <c r="L434" s="209">
        <f>L435</f>
        <v>2140.7</v>
      </c>
      <c r="M434" s="209">
        <f>M435</f>
        <v>2140.7</v>
      </c>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row>
    <row r="435" spans="1:60" ht="30">
      <c r="A435" s="2"/>
      <c r="B435" s="158" t="s">
        <v>271</v>
      </c>
      <c r="C435" s="2"/>
      <c r="D435" s="2"/>
      <c r="E435" s="193" t="s">
        <v>272</v>
      </c>
      <c r="F435" s="2"/>
      <c r="G435" s="105"/>
      <c r="H435" s="2"/>
      <c r="I435" s="105"/>
      <c r="J435" s="209">
        <f>J437+J436</f>
        <v>2372.6895400000003</v>
      </c>
      <c r="K435" s="209">
        <f>K437+K436</f>
        <v>2372.6895400000003</v>
      </c>
      <c r="L435" s="209">
        <f>L437</f>
        <v>2140.7</v>
      </c>
      <c r="M435" s="209">
        <f>M437</f>
        <v>2140.7</v>
      </c>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row>
    <row r="436" spans="1:60" ht="160.5" customHeight="1">
      <c r="A436" s="2"/>
      <c r="B436" s="12" t="s">
        <v>648</v>
      </c>
      <c r="C436" s="2" t="s">
        <v>367</v>
      </c>
      <c r="D436" s="2" t="s">
        <v>297</v>
      </c>
      <c r="E436" s="2" t="s">
        <v>649</v>
      </c>
      <c r="F436" s="2" t="s">
        <v>37</v>
      </c>
      <c r="G436" s="129" t="s">
        <v>903</v>
      </c>
      <c r="H436" s="105" t="s">
        <v>650</v>
      </c>
      <c r="I436" s="105" t="s">
        <v>651</v>
      </c>
      <c r="J436" s="296">
        <v>286.30981</v>
      </c>
      <c r="K436" s="209">
        <v>286.30981</v>
      </c>
      <c r="L436" s="209">
        <v>0</v>
      </c>
      <c r="M436" s="209">
        <v>0</v>
      </c>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row>
    <row r="437" spans="1:60" ht="78.75" customHeight="1">
      <c r="A437" s="2"/>
      <c r="B437" s="12" t="s">
        <v>701</v>
      </c>
      <c r="C437" s="2" t="s">
        <v>367</v>
      </c>
      <c r="D437" s="2" t="s">
        <v>297</v>
      </c>
      <c r="E437" s="200" t="s">
        <v>700</v>
      </c>
      <c r="F437" s="2" t="s">
        <v>37</v>
      </c>
      <c r="G437" s="129" t="s">
        <v>906</v>
      </c>
      <c r="H437" s="105" t="s">
        <v>702</v>
      </c>
      <c r="I437" s="105" t="s">
        <v>703</v>
      </c>
      <c r="J437" s="296">
        <v>2086.37973</v>
      </c>
      <c r="K437" s="209">
        <v>2086.37973</v>
      </c>
      <c r="L437" s="209">
        <v>2140.7</v>
      </c>
      <c r="M437" s="209">
        <v>2140.7</v>
      </c>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row>
    <row r="438" spans="1:60" ht="45">
      <c r="A438" s="2"/>
      <c r="B438" s="158" t="s">
        <v>214</v>
      </c>
      <c r="C438" s="2"/>
      <c r="D438" s="2"/>
      <c r="E438" s="193" t="s">
        <v>51</v>
      </c>
      <c r="F438" s="2"/>
      <c r="G438" s="2"/>
      <c r="H438" s="2"/>
      <c r="I438" s="2"/>
      <c r="J438" s="209">
        <f>J439</f>
        <v>92.8</v>
      </c>
      <c r="K438" s="209">
        <f>K439</f>
        <v>92.8</v>
      </c>
      <c r="L438" s="209">
        <f>L439</f>
        <v>95.5</v>
      </c>
      <c r="M438" s="209">
        <f>M439</f>
        <v>95.5</v>
      </c>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row>
    <row r="439" spans="1:60" ht="45">
      <c r="A439" s="2"/>
      <c r="B439" s="158" t="s">
        <v>389</v>
      </c>
      <c r="C439" s="2"/>
      <c r="D439" s="2"/>
      <c r="E439" s="2" t="s">
        <v>390</v>
      </c>
      <c r="F439" s="2"/>
      <c r="G439" s="2"/>
      <c r="H439" s="2"/>
      <c r="I439" s="2"/>
      <c r="J439" s="209">
        <f>J440+J442+J441</f>
        <v>92.8</v>
      </c>
      <c r="K439" s="209">
        <f>K440+K442+K441</f>
        <v>92.8</v>
      </c>
      <c r="L439" s="209">
        <f>L440+L442+L441</f>
        <v>95.5</v>
      </c>
      <c r="M439" s="209">
        <f>M440+M442</f>
        <v>95.5</v>
      </c>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row>
    <row r="440" spans="1:60" ht="141" customHeight="1">
      <c r="A440" s="2"/>
      <c r="B440" s="158" t="s">
        <v>642</v>
      </c>
      <c r="C440" s="2" t="s">
        <v>367</v>
      </c>
      <c r="D440" s="2" t="s">
        <v>41</v>
      </c>
      <c r="E440" s="2" t="s">
        <v>641</v>
      </c>
      <c r="F440" s="2" t="s">
        <v>37</v>
      </c>
      <c r="G440" s="9" t="s">
        <v>724</v>
      </c>
      <c r="H440" s="5" t="s">
        <v>643</v>
      </c>
      <c r="I440" s="5" t="s">
        <v>644</v>
      </c>
      <c r="J440" s="209">
        <v>64.3</v>
      </c>
      <c r="K440" s="209">
        <v>64.3</v>
      </c>
      <c r="L440" s="209">
        <v>66.7</v>
      </c>
      <c r="M440" s="209">
        <v>66.7</v>
      </c>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row>
    <row r="441" spans="1:60" ht="63.75" customHeight="1">
      <c r="A441" s="2"/>
      <c r="B441" s="373" t="s">
        <v>636</v>
      </c>
      <c r="C441" s="2" t="s">
        <v>367</v>
      </c>
      <c r="D441" s="2" t="s">
        <v>41</v>
      </c>
      <c r="E441" s="4" t="s">
        <v>637</v>
      </c>
      <c r="F441" s="2" t="s">
        <v>170</v>
      </c>
      <c r="G441" s="314" t="s">
        <v>723</v>
      </c>
      <c r="H441" s="316" t="s">
        <v>281</v>
      </c>
      <c r="I441" s="316" t="s">
        <v>638</v>
      </c>
      <c r="J441" s="209">
        <v>28.5</v>
      </c>
      <c r="K441" s="209">
        <v>28.5</v>
      </c>
      <c r="L441" s="209">
        <v>0</v>
      </c>
      <c r="M441" s="209">
        <v>0</v>
      </c>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row>
    <row r="442" spans="1:60" ht="53.25" customHeight="1">
      <c r="A442" s="2"/>
      <c r="B442" s="328"/>
      <c r="C442" s="2" t="s">
        <v>367</v>
      </c>
      <c r="D442" s="2" t="s">
        <v>41</v>
      </c>
      <c r="E442" s="4" t="s">
        <v>637</v>
      </c>
      <c r="F442" s="2" t="s">
        <v>37</v>
      </c>
      <c r="G442" s="315"/>
      <c r="H442" s="315"/>
      <c r="I442" s="315"/>
      <c r="J442" s="209">
        <v>0</v>
      </c>
      <c r="K442" s="209">
        <v>0</v>
      </c>
      <c r="L442" s="209">
        <v>28.8</v>
      </c>
      <c r="M442" s="209">
        <v>28.8</v>
      </c>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row>
    <row r="443" spans="1:60" ht="30">
      <c r="A443" s="2"/>
      <c r="B443" s="7" t="s">
        <v>464</v>
      </c>
      <c r="C443" s="2"/>
      <c r="D443" s="2"/>
      <c r="E443" s="2" t="s">
        <v>463</v>
      </c>
      <c r="F443" s="10"/>
      <c r="G443" s="159"/>
      <c r="H443" s="2"/>
      <c r="I443" s="2"/>
      <c r="J443" s="209">
        <f>J445+J444+J446+J447</f>
        <v>723.9569999999999</v>
      </c>
      <c r="K443" s="209">
        <f>K445+K444+K446+K447</f>
        <v>723.9569999999999</v>
      </c>
      <c r="L443" s="209">
        <f>L445+L444+L446+L447</f>
        <v>266.82</v>
      </c>
      <c r="M443" s="209">
        <f>M445+M444+M446+M447</f>
        <v>266.82</v>
      </c>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row>
    <row r="444" spans="1:60" ht="212.25" customHeight="1">
      <c r="A444" s="21"/>
      <c r="B444" s="12" t="s">
        <v>503</v>
      </c>
      <c r="C444" s="176" t="s">
        <v>497</v>
      </c>
      <c r="D444" s="2" t="s">
        <v>9</v>
      </c>
      <c r="E444" s="2" t="s">
        <v>504</v>
      </c>
      <c r="F444" s="2" t="s">
        <v>37</v>
      </c>
      <c r="G444" s="124" t="s">
        <v>556</v>
      </c>
      <c r="H444" s="4" t="s">
        <v>505</v>
      </c>
      <c r="I444" s="100" t="s">
        <v>557</v>
      </c>
      <c r="J444" s="209">
        <f>14.4+0.8</f>
        <v>15.200000000000001</v>
      </c>
      <c r="K444" s="209">
        <f>14.4+0.8</f>
        <v>15.200000000000001</v>
      </c>
      <c r="L444" s="209">
        <f>14.9+0.8</f>
        <v>15.700000000000001</v>
      </c>
      <c r="M444" s="209">
        <f>14.9+0.8</f>
        <v>15.700000000000001</v>
      </c>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row>
    <row r="445" spans="1:60" ht="91.5" customHeight="1">
      <c r="A445" s="2"/>
      <c r="B445" s="90" t="s">
        <v>501</v>
      </c>
      <c r="C445" s="170" t="s">
        <v>497</v>
      </c>
      <c r="D445" s="1" t="s">
        <v>9</v>
      </c>
      <c r="E445" s="1" t="s">
        <v>502</v>
      </c>
      <c r="F445" s="2" t="s">
        <v>37</v>
      </c>
      <c r="G445" s="124" t="s">
        <v>652</v>
      </c>
      <c r="H445" s="5" t="s">
        <v>561</v>
      </c>
      <c r="I445" s="171" t="s">
        <v>558</v>
      </c>
      <c r="J445" s="209">
        <f>307.4+5.7</f>
        <v>313.09999999999997</v>
      </c>
      <c r="K445" s="209">
        <f>307.4+5.7</f>
        <v>313.09999999999997</v>
      </c>
      <c r="L445" s="209">
        <v>158</v>
      </c>
      <c r="M445" s="313">
        <v>158</v>
      </c>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row>
    <row r="446" spans="1:60" ht="72.75" customHeight="1">
      <c r="A446" s="2"/>
      <c r="B446" s="7" t="s">
        <v>696</v>
      </c>
      <c r="C446" s="2" t="s">
        <v>366</v>
      </c>
      <c r="D446" s="2" t="s">
        <v>299</v>
      </c>
      <c r="E446" s="2" t="s">
        <v>697</v>
      </c>
      <c r="F446" s="10" t="s">
        <v>37</v>
      </c>
      <c r="G446" s="9" t="s">
        <v>725</v>
      </c>
      <c r="H446" s="2" t="s">
        <v>698</v>
      </c>
      <c r="I446" s="2" t="s">
        <v>699</v>
      </c>
      <c r="J446" s="209">
        <f>85.7+4.157</f>
        <v>89.857</v>
      </c>
      <c r="K446" s="209">
        <f>85.7+4.157</f>
        <v>89.857</v>
      </c>
      <c r="L446" s="209">
        <v>93.12</v>
      </c>
      <c r="M446" s="308">
        <v>93.12</v>
      </c>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row>
    <row r="447" spans="1:60" ht="91.5" customHeight="1">
      <c r="A447" s="2"/>
      <c r="B447" s="7" t="s">
        <v>969</v>
      </c>
      <c r="C447" s="293" t="s">
        <v>497</v>
      </c>
      <c r="D447" s="2" t="s">
        <v>41</v>
      </c>
      <c r="E447" s="2" t="s">
        <v>970</v>
      </c>
      <c r="F447" s="10" t="s">
        <v>37</v>
      </c>
      <c r="G447" s="9" t="s">
        <v>999</v>
      </c>
      <c r="H447" s="2" t="s">
        <v>281</v>
      </c>
      <c r="I447" s="2" t="s">
        <v>1000</v>
      </c>
      <c r="J447" s="209">
        <v>305.8</v>
      </c>
      <c r="K447" s="209">
        <v>305.8</v>
      </c>
      <c r="L447" s="209">
        <v>0</v>
      </c>
      <c r="M447" s="313">
        <v>0</v>
      </c>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row>
    <row r="448" spans="1:13" ht="60">
      <c r="A448" s="78" t="s">
        <v>494</v>
      </c>
      <c r="B448" s="87" t="s">
        <v>495</v>
      </c>
      <c r="C448" s="78"/>
      <c r="D448" s="78"/>
      <c r="E448" s="78"/>
      <c r="F448" s="78"/>
      <c r="G448" s="78"/>
      <c r="H448" s="78"/>
      <c r="I448" s="78"/>
      <c r="J448" s="208">
        <f>J449</f>
        <v>16372.36981</v>
      </c>
      <c r="K448" s="208">
        <f>K449</f>
        <v>16372.36981</v>
      </c>
      <c r="L448" s="208">
        <f>L449</f>
        <v>9856.45668</v>
      </c>
      <c r="M448" s="208">
        <f>M449</f>
        <v>9880.45428</v>
      </c>
    </row>
    <row r="449" spans="1:13" ht="45">
      <c r="A449" s="2"/>
      <c r="B449" s="11" t="s">
        <v>165</v>
      </c>
      <c r="C449" s="2"/>
      <c r="D449" s="2"/>
      <c r="E449" s="2" t="s">
        <v>67</v>
      </c>
      <c r="F449" s="2"/>
      <c r="G449" s="25"/>
      <c r="H449" s="57"/>
      <c r="I449" s="57"/>
      <c r="J449" s="209">
        <f>SUM(J450:J454)</f>
        <v>16372.36981</v>
      </c>
      <c r="K449" s="209">
        <f>SUM(K450:K454)</f>
        <v>16372.36981</v>
      </c>
      <c r="L449" s="209">
        <f>SUM(L450:L454)</f>
        <v>9856.45668</v>
      </c>
      <c r="M449" s="209">
        <f>SUM(M450:M454)</f>
        <v>9880.45428</v>
      </c>
    </row>
    <row r="450" spans="1:13" ht="45" customHeight="1">
      <c r="A450" s="2"/>
      <c r="B450" s="12" t="s">
        <v>496</v>
      </c>
      <c r="C450" s="164" t="s">
        <v>497</v>
      </c>
      <c r="D450" s="2" t="s">
        <v>9</v>
      </c>
      <c r="E450" s="2" t="s">
        <v>498</v>
      </c>
      <c r="F450" s="2" t="s">
        <v>38</v>
      </c>
      <c r="G450" s="329" t="s">
        <v>744</v>
      </c>
      <c r="H450" s="316" t="s">
        <v>559</v>
      </c>
      <c r="I450" s="316" t="s">
        <v>560</v>
      </c>
      <c r="J450" s="209">
        <v>646.05108</v>
      </c>
      <c r="K450" s="209">
        <v>646.05108</v>
      </c>
      <c r="L450" s="209">
        <v>670.04868</v>
      </c>
      <c r="M450" s="209">
        <v>694.04628</v>
      </c>
    </row>
    <row r="451" spans="1:13" ht="55.5" customHeight="1">
      <c r="A451" s="316"/>
      <c r="B451" s="373" t="s">
        <v>499</v>
      </c>
      <c r="C451" s="164" t="s">
        <v>497</v>
      </c>
      <c r="D451" s="2" t="s">
        <v>481</v>
      </c>
      <c r="E451" s="2" t="s">
        <v>500</v>
      </c>
      <c r="F451" s="2" t="s">
        <v>98</v>
      </c>
      <c r="G451" s="332"/>
      <c r="H451" s="319"/>
      <c r="I451" s="319"/>
      <c r="J451" s="209">
        <f>3062.15+6522.12</f>
        <v>9584.27</v>
      </c>
      <c r="K451" s="209">
        <f>3062.15+6522.12</f>
        <v>9584.27</v>
      </c>
      <c r="L451" s="209">
        <f>1531.068-1531.068</f>
        <v>0</v>
      </c>
      <c r="M451" s="209">
        <f>1531.068-1531.068</f>
        <v>0</v>
      </c>
    </row>
    <row r="452" spans="1:13" ht="55.5" customHeight="1">
      <c r="A452" s="320"/>
      <c r="B452" s="374"/>
      <c r="C452" s="288" t="s">
        <v>4</v>
      </c>
      <c r="D452" s="2" t="s">
        <v>481</v>
      </c>
      <c r="E452" s="2" t="s">
        <v>500</v>
      </c>
      <c r="F452" s="2" t="s">
        <v>98</v>
      </c>
      <c r="G452" s="332"/>
      <c r="H452" s="319"/>
      <c r="I452" s="319"/>
      <c r="J452" s="209">
        <v>0</v>
      </c>
      <c r="K452" s="209">
        <v>0</v>
      </c>
      <c r="L452" s="209">
        <v>1531.068</v>
      </c>
      <c r="M452" s="209">
        <v>1531.068</v>
      </c>
    </row>
    <row r="453" spans="1:13" ht="35.25" customHeight="1">
      <c r="A453" s="316"/>
      <c r="B453" s="373" t="s">
        <v>653</v>
      </c>
      <c r="C453" s="176" t="s">
        <v>497</v>
      </c>
      <c r="D453" s="2" t="s">
        <v>481</v>
      </c>
      <c r="E453" s="2" t="s">
        <v>654</v>
      </c>
      <c r="F453" s="2" t="s">
        <v>98</v>
      </c>
      <c r="G453" s="338"/>
      <c r="H453" s="320"/>
      <c r="I453" s="320"/>
      <c r="J453" s="209">
        <f>6124.272+17.77673</f>
        <v>6142.0487299999995</v>
      </c>
      <c r="K453" s="209">
        <f>6124.272+17.77673</f>
        <v>6142.0487299999995</v>
      </c>
      <c r="L453" s="209">
        <f>7655.34-7655.34</f>
        <v>0</v>
      </c>
      <c r="M453" s="209">
        <f>7655.34-7655.34</f>
        <v>0</v>
      </c>
    </row>
    <row r="454" spans="1:13" ht="35.25" customHeight="1">
      <c r="A454" s="320"/>
      <c r="B454" s="374"/>
      <c r="C454" s="288" t="s">
        <v>4</v>
      </c>
      <c r="D454" s="2" t="s">
        <v>481</v>
      </c>
      <c r="E454" s="2" t="s">
        <v>654</v>
      </c>
      <c r="F454" s="2" t="s">
        <v>98</v>
      </c>
      <c r="G454" s="129"/>
      <c r="H454" s="105"/>
      <c r="I454" s="105"/>
      <c r="J454" s="209">
        <v>0</v>
      </c>
      <c r="K454" s="209">
        <v>0</v>
      </c>
      <c r="L454" s="209">
        <v>7655.34</v>
      </c>
      <c r="M454" s="209">
        <v>7655.34</v>
      </c>
    </row>
    <row r="455" spans="1:60" ht="345">
      <c r="A455" s="78" t="s">
        <v>483</v>
      </c>
      <c r="B455" s="116" t="s">
        <v>482</v>
      </c>
      <c r="C455" s="78"/>
      <c r="D455" s="78"/>
      <c r="E455" s="78"/>
      <c r="F455" s="78"/>
      <c r="G455" s="78"/>
      <c r="H455" s="78"/>
      <c r="I455" s="78"/>
      <c r="J455" s="208">
        <f>J456+J465</f>
        <v>11548.957</v>
      </c>
      <c r="K455" s="208">
        <f>K456+K462</f>
        <v>11548.957</v>
      </c>
      <c r="L455" s="208">
        <f>L456+L462</f>
        <v>15160.887999999999</v>
      </c>
      <c r="M455" s="208">
        <f>M456+M462</f>
        <v>14096.651</v>
      </c>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row>
    <row r="456" spans="1:60" ht="30">
      <c r="A456" s="2"/>
      <c r="B456" s="12" t="s">
        <v>251</v>
      </c>
      <c r="C456" s="2"/>
      <c r="D456" s="2"/>
      <c r="E456" s="2" t="s">
        <v>71</v>
      </c>
      <c r="F456" s="10"/>
      <c r="G456" s="4"/>
      <c r="H456" s="2"/>
      <c r="I456" s="2"/>
      <c r="J456" s="209">
        <f>J457</f>
        <v>10964.2</v>
      </c>
      <c r="K456" s="209">
        <f>K457</f>
        <v>10964.2</v>
      </c>
      <c r="L456" s="209">
        <f>L457</f>
        <v>13421.5</v>
      </c>
      <c r="M456" s="209">
        <f>M457</f>
        <v>13673.4</v>
      </c>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row>
    <row r="457" spans="1:60" ht="75">
      <c r="A457" s="2"/>
      <c r="B457" s="12" t="s">
        <v>476</v>
      </c>
      <c r="C457" s="2"/>
      <c r="D457" s="2"/>
      <c r="E457" s="2" t="s">
        <v>477</v>
      </c>
      <c r="F457" s="10"/>
      <c r="G457" s="4"/>
      <c r="H457" s="2"/>
      <c r="I457" s="2"/>
      <c r="J457" s="209">
        <f>J458+J459+J461+J460</f>
        <v>10964.2</v>
      </c>
      <c r="K457" s="209">
        <f>K458+K459+K461+K460</f>
        <v>10964.2</v>
      </c>
      <c r="L457" s="209">
        <f>L458+L459+L461+L460</f>
        <v>13421.5</v>
      </c>
      <c r="M457" s="209">
        <f>M458+M459+M461+M460</f>
        <v>13673.4</v>
      </c>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row>
    <row r="458" spans="1:60" ht="89.25" customHeight="1">
      <c r="A458" s="316"/>
      <c r="B458" s="360" t="s">
        <v>666</v>
      </c>
      <c r="C458" s="2" t="s">
        <v>369</v>
      </c>
      <c r="D458" s="2" t="s">
        <v>11</v>
      </c>
      <c r="E458" s="2" t="s">
        <v>667</v>
      </c>
      <c r="F458" s="10" t="s">
        <v>242</v>
      </c>
      <c r="G458" s="341" t="s">
        <v>668</v>
      </c>
      <c r="H458" s="325" t="s">
        <v>669</v>
      </c>
      <c r="I458" s="325" t="s">
        <v>670</v>
      </c>
      <c r="J458" s="209">
        <v>923.706</v>
      </c>
      <c r="K458" s="209">
        <v>923.706</v>
      </c>
      <c r="L458" s="209">
        <v>800</v>
      </c>
      <c r="M458" s="209">
        <v>800</v>
      </c>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row>
    <row r="459" spans="1:60" ht="69" customHeight="1">
      <c r="A459" s="320"/>
      <c r="B459" s="328"/>
      <c r="C459" s="2" t="s">
        <v>369</v>
      </c>
      <c r="D459" s="2" t="s">
        <v>11</v>
      </c>
      <c r="E459" s="2" t="s">
        <v>667</v>
      </c>
      <c r="F459" s="10" t="s">
        <v>42</v>
      </c>
      <c r="G459" s="344"/>
      <c r="H459" s="325"/>
      <c r="I459" s="325"/>
      <c r="J459" s="209">
        <v>1154.894</v>
      </c>
      <c r="K459" s="209">
        <v>1154.894</v>
      </c>
      <c r="L459" s="209">
        <v>1278.6</v>
      </c>
      <c r="M459" s="209">
        <v>1278.6</v>
      </c>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row>
    <row r="460" spans="1:60" ht="90">
      <c r="A460" s="316"/>
      <c r="B460" s="302" t="s">
        <v>979</v>
      </c>
      <c r="C460" s="2" t="s">
        <v>369</v>
      </c>
      <c r="D460" s="2" t="s">
        <v>11</v>
      </c>
      <c r="E460" s="10" t="s">
        <v>672</v>
      </c>
      <c r="F460" s="10" t="s">
        <v>242</v>
      </c>
      <c r="G460" s="341" t="s">
        <v>739</v>
      </c>
      <c r="H460" s="331" t="s">
        <v>673</v>
      </c>
      <c r="I460" s="331" t="s">
        <v>738</v>
      </c>
      <c r="J460" s="209">
        <v>788.5</v>
      </c>
      <c r="K460" s="209">
        <v>788.5</v>
      </c>
      <c r="L460" s="209">
        <f>50+276</f>
        <v>326</v>
      </c>
      <c r="M460" s="209">
        <v>276</v>
      </c>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row>
    <row r="461" spans="1:60" ht="60">
      <c r="A461" s="320"/>
      <c r="B461" s="302" t="s">
        <v>671</v>
      </c>
      <c r="C461" s="2" t="s">
        <v>369</v>
      </c>
      <c r="D461" s="2" t="s">
        <v>11</v>
      </c>
      <c r="E461" s="10" t="s">
        <v>672</v>
      </c>
      <c r="F461" s="10" t="s">
        <v>42</v>
      </c>
      <c r="G461" s="315"/>
      <c r="H461" s="337"/>
      <c r="I461" s="337"/>
      <c r="J461" s="209">
        <v>8097.1</v>
      </c>
      <c r="K461" s="209">
        <v>8097.1</v>
      </c>
      <c r="L461" s="209">
        <v>11016.9</v>
      </c>
      <c r="M461" s="209">
        <v>11318.8</v>
      </c>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row>
    <row r="462" spans="1:60" ht="45">
      <c r="A462" s="2"/>
      <c r="B462" s="50" t="s">
        <v>346</v>
      </c>
      <c r="C462" s="2"/>
      <c r="D462" s="105"/>
      <c r="E462" s="196" t="s">
        <v>65</v>
      </c>
      <c r="F462" s="10"/>
      <c r="G462" s="161"/>
      <c r="H462" s="196"/>
      <c r="I462" s="196"/>
      <c r="J462" s="209">
        <f>J464+J465</f>
        <v>584.757</v>
      </c>
      <c r="K462" s="209">
        <f>K464+K465</f>
        <v>584.757</v>
      </c>
      <c r="L462" s="209">
        <f>L464+L465+L463</f>
        <v>1739.388</v>
      </c>
      <c r="M462" s="209">
        <f>M464+M465</f>
        <v>423.251</v>
      </c>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row>
    <row r="463" spans="1:60" ht="72.75" customHeight="1">
      <c r="A463" s="105"/>
      <c r="B463" s="342" t="s">
        <v>674</v>
      </c>
      <c r="C463" s="2" t="s">
        <v>369</v>
      </c>
      <c r="D463" s="2" t="s">
        <v>11</v>
      </c>
      <c r="E463" s="10" t="s">
        <v>675</v>
      </c>
      <c r="F463" s="10" t="s">
        <v>38</v>
      </c>
      <c r="G463" s="323" t="s">
        <v>676</v>
      </c>
      <c r="H463" s="412" t="s">
        <v>561</v>
      </c>
      <c r="I463" s="316" t="s">
        <v>677</v>
      </c>
      <c r="J463" s="209">
        <v>0</v>
      </c>
      <c r="K463" s="209">
        <v>0</v>
      </c>
      <c r="L463" s="209">
        <v>13</v>
      </c>
      <c r="M463" s="209">
        <v>0</v>
      </c>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row>
    <row r="464" spans="1:60" ht="81" customHeight="1">
      <c r="A464" s="109"/>
      <c r="B464" s="328"/>
      <c r="C464" s="2" t="s">
        <v>369</v>
      </c>
      <c r="D464" s="2" t="s">
        <v>11</v>
      </c>
      <c r="E464" s="10" t="s">
        <v>675</v>
      </c>
      <c r="F464" s="10" t="s">
        <v>242</v>
      </c>
      <c r="G464" s="315"/>
      <c r="H464" s="315"/>
      <c r="I464" s="315"/>
      <c r="J464" s="212">
        <v>0</v>
      </c>
      <c r="K464" s="212">
        <v>0</v>
      </c>
      <c r="L464" s="212">
        <f>1316.137-13</f>
        <v>1303.137</v>
      </c>
      <c r="M464" s="212">
        <v>0</v>
      </c>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row>
    <row r="465" spans="1:60" ht="148.5" customHeight="1">
      <c r="A465" s="2"/>
      <c r="B465" s="144" t="s">
        <v>527</v>
      </c>
      <c r="C465" s="2" t="s">
        <v>4</v>
      </c>
      <c r="D465" s="2" t="s">
        <v>11</v>
      </c>
      <c r="E465" s="10" t="s">
        <v>526</v>
      </c>
      <c r="F465" s="10" t="s">
        <v>40</v>
      </c>
      <c r="G465" s="124" t="s">
        <v>791</v>
      </c>
      <c r="H465" s="100" t="s">
        <v>281</v>
      </c>
      <c r="I465" s="100" t="s">
        <v>592</v>
      </c>
      <c r="J465" s="241">
        <f>423.251+13.252+148.254</f>
        <v>584.757</v>
      </c>
      <c r="K465" s="241">
        <f>423.251+13.252+148.254</f>
        <v>584.757</v>
      </c>
      <c r="L465" s="218">
        <v>423.251</v>
      </c>
      <c r="M465" s="218">
        <v>423.251</v>
      </c>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row>
    <row r="466" spans="1:60" ht="375">
      <c r="A466" s="78" t="s">
        <v>479</v>
      </c>
      <c r="B466" s="87" t="s">
        <v>480</v>
      </c>
      <c r="C466" s="78"/>
      <c r="D466" s="78"/>
      <c r="E466" s="78"/>
      <c r="F466" s="78"/>
      <c r="G466" s="78"/>
      <c r="H466" s="78"/>
      <c r="I466" s="78"/>
      <c r="J466" s="208">
        <f aca="true" t="shared" si="26" ref="J466:M468">J467</f>
        <v>5059.745</v>
      </c>
      <c r="K466" s="208">
        <f t="shared" si="26"/>
        <v>5059.745</v>
      </c>
      <c r="L466" s="208">
        <f t="shared" si="26"/>
        <v>4479.69</v>
      </c>
      <c r="M466" s="208">
        <f t="shared" si="26"/>
        <v>3112.34</v>
      </c>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row>
    <row r="467" spans="1:60" ht="30">
      <c r="A467" s="2"/>
      <c r="B467" s="12" t="s">
        <v>251</v>
      </c>
      <c r="C467" s="2"/>
      <c r="D467" s="2"/>
      <c r="E467" s="2" t="s">
        <v>71</v>
      </c>
      <c r="F467" s="2"/>
      <c r="G467" s="2"/>
      <c r="H467" s="106"/>
      <c r="I467" s="106"/>
      <c r="J467" s="209">
        <f t="shared" si="26"/>
        <v>5059.745</v>
      </c>
      <c r="K467" s="209">
        <f t="shared" si="26"/>
        <v>5059.745</v>
      </c>
      <c r="L467" s="209">
        <f t="shared" si="26"/>
        <v>4479.69</v>
      </c>
      <c r="M467" s="209">
        <f t="shared" si="26"/>
        <v>3112.34</v>
      </c>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row>
    <row r="468" spans="1:60" ht="30">
      <c r="A468" s="2"/>
      <c r="B468" s="12" t="s">
        <v>252</v>
      </c>
      <c r="C468" s="2"/>
      <c r="D468" s="2"/>
      <c r="E468" s="2" t="s">
        <v>83</v>
      </c>
      <c r="F468" s="10"/>
      <c r="G468" s="2"/>
      <c r="H468" s="106"/>
      <c r="I468" s="106"/>
      <c r="J468" s="209">
        <f t="shared" si="26"/>
        <v>5059.745</v>
      </c>
      <c r="K468" s="209">
        <f t="shared" si="26"/>
        <v>5059.745</v>
      </c>
      <c r="L468" s="209">
        <f t="shared" si="26"/>
        <v>4479.69</v>
      </c>
      <c r="M468" s="209">
        <f t="shared" si="26"/>
        <v>3112.34</v>
      </c>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row>
    <row r="469" spans="1:60" ht="75">
      <c r="A469" s="2"/>
      <c r="B469" s="12" t="s">
        <v>476</v>
      </c>
      <c r="C469" s="2"/>
      <c r="D469" s="2"/>
      <c r="E469" s="2" t="s">
        <v>477</v>
      </c>
      <c r="F469" s="10"/>
      <c r="G469" s="2"/>
      <c r="H469" s="106"/>
      <c r="I469" s="106"/>
      <c r="J469" s="209">
        <f>SUM(J470:J475)</f>
        <v>5059.745</v>
      </c>
      <c r="K469" s="209">
        <f>SUM(K470:K475)</f>
        <v>5059.745</v>
      </c>
      <c r="L469" s="209">
        <f>SUM(L470:L475)</f>
        <v>4479.69</v>
      </c>
      <c r="M469" s="209">
        <f>SUM(M470:M475)</f>
        <v>3112.34</v>
      </c>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row>
    <row r="470" spans="1:60" ht="15.75">
      <c r="A470" s="316"/>
      <c r="B470" s="360" t="s">
        <v>678</v>
      </c>
      <c r="C470" s="2" t="s">
        <v>369</v>
      </c>
      <c r="D470" s="2" t="s">
        <v>12</v>
      </c>
      <c r="E470" s="2" t="s">
        <v>679</v>
      </c>
      <c r="F470" s="10" t="s">
        <v>170</v>
      </c>
      <c r="G470" s="329" t="s">
        <v>680</v>
      </c>
      <c r="H470" s="331" t="s">
        <v>681</v>
      </c>
      <c r="I470" s="331" t="s">
        <v>682</v>
      </c>
      <c r="J470" s="209"/>
      <c r="K470" s="209"/>
      <c r="L470" s="209"/>
      <c r="M470" s="209"/>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row>
    <row r="471" spans="1:60" ht="27.75" customHeight="1">
      <c r="A471" s="319"/>
      <c r="B471" s="327"/>
      <c r="C471" s="2" t="s">
        <v>369</v>
      </c>
      <c r="D471" s="2" t="s">
        <v>12</v>
      </c>
      <c r="E471" s="2" t="s">
        <v>679</v>
      </c>
      <c r="F471" s="10" t="s">
        <v>38</v>
      </c>
      <c r="G471" s="330"/>
      <c r="H471" s="330"/>
      <c r="I471" s="330"/>
      <c r="J471" s="209">
        <v>5.545</v>
      </c>
      <c r="K471" s="209">
        <v>5.545</v>
      </c>
      <c r="L471" s="209">
        <v>4.89</v>
      </c>
      <c r="M471" s="209">
        <v>4.14</v>
      </c>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row>
    <row r="472" spans="1:60" ht="30" customHeight="1">
      <c r="A472" s="319"/>
      <c r="B472" s="327"/>
      <c r="C472" s="2" t="s">
        <v>366</v>
      </c>
      <c r="D472" s="2" t="s">
        <v>12</v>
      </c>
      <c r="E472" s="2" t="s">
        <v>679</v>
      </c>
      <c r="F472" s="10" t="s">
        <v>170</v>
      </c>
      <c r="G472" s="330"/>
      <c r="H472" s="330"/>
      <c r="I472" s="330"/>
      <c r="J472" s="209">
        <v>161</v>
      </c>
      <c r="K472" s="209">
        <v>161</v>
      </c>
      <c r="L472" s="209">
        <v>130</v>
      </c>
      <c r="M472" s="209">
        <v>91</v>
      </c>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row>
    <row r="473" spans="1:60" ht="20.25" customHeight="1">
      <c r="A473" s="319"/>
      <c r="B473" s="327"/>
      <c r="C473" s="2" t="s">
        <v>369</v>
      </c>
      <c r="D473" s="2" t="s">
        <v>481</v>
      </c>
      <c r="E473" s="2" t="s">
        <v>679</v>
      </c>
      <c r="F473" s="10" t="s">
        <v>90</v>
      </c>
      <c r="G473" s="330"/>
      <c r="H473" s="330"/>
      <c r="I473" s="330"/>
      <c r="J473" s="209">
        <v>50</v>
      </c>
      <c r="K473" s="209">
        <v>50</v>
      </c>
      <c r="L473" s="209">
        <v>0</v>
      </c>
      <c r="M473" s="209">
        <v>0</v>
      </c>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row>
    <row r="474" spans="1:60" ht="20.25" customHeight="1">
      <c r="A474" s="319"/>
      <c r="B474" s="327"/>
      <c r="C474" s="2" t="s">
        <v>369</v>
      </c>
      <c r="D474" s="2" t="s">
        <v>481</v>
      </c>
      <c r="E474" s="2" t="s">
        <v>679</v>
      </c>
      <c r="F474" s="10" t="s">
        <v>42</v>
      </c>
      <c r="G474" s="330"/>
      <c r="H474" s="330"/>
      <c r="I474" s="330"/>
      <c r="J474" s="209">
        <v>2861.798</v>
      </c>
      <c r="K474" s="209">
        <v>2861.798</v>
      </c>
      <c r="L474" s="209">
        <v>2937.384</v>
      </c>
      <c r="M474" s="209">
        <v>2345.398</v>
      </c>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row>
    <row r="475" spans="1:60" ht="39" customHeight="1">
      <c r="A475" s="320"/>
      <c r="B475" s="328"/>
      <c r="C475" s="2" t="s">
        <v>369</v>
      </c>
      <c r="D475" s="2" t="s">
        <v>481</v>
      </c>
      <c r="E475" s="2" t="s">
        <v>679</v>
      </c>
      <c r="F475" s="10" t="s">
        <v>254</v>
      </c>
      <c r="G475" s="315"/>
      <c r="H475" s="315"/>
      <c r="I475" s="315"/>
      <c r="J475" s="209">
        <v>1981.402</v>
      </c>
      <c r="K475" s="209">
        <v>1981.402</v>
      </c>
      <c r="L475" s="209">
        <v>1407.416</v>
      </c>
      <c r="M475" s="209">
        <v>671.802</v>
      </c>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row>
    <row r="476" spans="1:60" ht="180">
      <c r="A476" s="78" t="s">
        <v>475</v>
      </c>
      <c r="B476" s="87" t="s">
        <v>474</v>
      </c>
      <c r="C476" s="78"/>
      <c r="D476" s="78"/>
      <c r="E476" s="78"/>
      <c r="F476" s="78"/>
      <c r="G476" s="78"/>
      <c r="H476" s="78"/>
      <c r="I476" s="78"/>
      <c r="J476" s="208">
        <f aca="true" t="shared" si="27" ref="J476:M478">J477</f>
        <v>6376.8</v>
      </c>
      <c r="K476" s="208">
        <f t="shared" si="27"/>
        <v>6376.8</v>
      </c>
      <c r="L476" s="208">
        <f t="shared" si="27"/>
        <v>5176.8</v>
      </c>
      <c r="M476" s="208">
        <f t="shared" si="27"/>
        <v>5176.8</v>
      </c>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row>
    <row r="477" spans="1:60" ht="30">
      <c r="A477" s="2"/>
      <c r="B477" s="12" t="s">
        <v>251</v>
      </c>
      <c r="C477" s="106"/>
      <c r="D477" s="106"/>
      <c r="E477" s="106" t="s">
        <v>71</v>
      </c>
      <c r="F477" s="2"/>
      <c r="G477" s="2"/>
      <c r="H477" s="2"/>
      <c r="I477" s="2"/>
      <c r="J477" s="209">
        <f t="shared" si="27"/>
        <v>6376.8</v>
      </c>
      <c r="K477" s="209">
        <f t="shared" si="27"/>
        <v>6376.8</v>
      </c>
      <c r="L477" s="209">
        <f t="shared" si="27"/>
        <v>5176.8</v>
      </c>
      <c r="M477" s="209">
        <f t="shared" si="27"/>
        <v>5176.8</v>
      </c>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row>
    <row r="478" spans="1:60" ht="30">
      <c r="A478" s="2"/>
      <c r="B478" s="12" t="s">
        <v>252</v>
      </c>
      <c r="C478" s="2"/>
      <c r="D478" s="2"/>
      <c r="E478" s="2" t="s">
        <v>83</v>
      </c>
      <c r="F478" s="2"/>
      <c r="G478" s="2"/>
      <c r="H478" s="2"/>
      <c r="I478" s="2"/>
      <c r="J478" s="209">
        <f t="shared" si="27"/>
        <v>6376.8</v>
      </c>
      <c r="K478" s="209">
        <f t="shared" si="27"/>
        <v>6376.8</v>
      </c>
      <c r="L478" s="209">
        <f t="shared" si="27"/>
        <v>5176.8</v>
      </c>
      <c r="M478" s="209">
        <f t="shared" si="27"/>
        <v>5176.8</v>
      </c>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row>
    <row r="479" spans="1:60" ht="75">
      <c r="A479" s="2"/>
      <c r="B479" s="12" t="s">
        <v>476</v>
      </c>
      <c r="C479" s="2"/>
      <c r="D479" s="2"/>
      <c r="E479" s="10" t="s">
        <v>477</v>
      </c>
      <c r="F479" s="2"/>
      <c r="G479" s="4"/>
      <c r="H479" s="5"/>
      <c r="I479" s="5"/>
      <c r="J479" s="209">
        <f>SUM(J480:J485)</f>
        <v>6376.8</v>
      </c>
      <c r="K479" s="209">
        <f>SUM(K480:K485)</f>
        <v>6376.8</v>
      </c>
      <c r="L479" s="209">
        <f>SUM(L480:L483)</f>
        <v>5176.8</v>
      </c>
      <c r="M479" s="209">
        <f>SUM(M480:M483)</f>
        <v>5176.8</v>
      </c>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row>
    <row r="480" spans="1:60" ht="15.75">
      <c r="A480" s="316"/>
      <c r="B480" s="343" t="s">
        <v>683</v>
      </c>
      <c r="C480" s="240" t="s">
        <v>369</v>
      </c>
      <c r="D480" s="2" t="s">
        <v>9</v>
      </c>
      <c r="E480" s="198" t="s">
        <v>684</v>
      </c>
      <c r="F480" s="2" t="s">
        <v>38</v>
      </c>
      <c r="G480" s="329" t="s">
        <v>726</v>
      </c>
      <c r="H480" s="331" t="s">
        <v>478</v>
      </c>
      <c r="I480" s="331" t="s">
        <v>685</v>
      </c>
      <c r="J480" s="209">
        <v>154</v>
      </c>
      <c r="K480" s="209">
        <v>154</v>
      </c>
      <c r="L480" s="209">
        <v>100</v>
      </c>
      <c r="M480" s="209">
        <v>100</v>
      </c>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row>
    <row r="481" spans="1:60" ht="21.75" customHeight="1">
      <c r="A481" s="319"/>
      <c r="B481" s="361"/>
      <c r="C481" s="240" t="s">
        <v>369</v>
      </c>
      <c r="D481" s="2" t="s">
        <v>43</v>
      </c>
      <c r="E481" s="198" t="s">
        <v>684</v>
      </c>
      <c r="F481" s="2" t="s">
        <v>38</v>
      </c>
      <c r="G481" s="332"/>
      <c r="H481" s="336"/>
      <c r="I481" s="336"/>
      <c r="J481" s="209">
        <v>0</v>
      </c>
      <c r="K481" s="209">
        <v>0</v>
      </c>
      <c r="L481" s="209">
        <v>1220</v>
      </c>
      <c r="M481" s="209">
        <v>1220</v>
      </c>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row>
    <row r="482" spans="1:60" ht="21.75" customHeight="1">
      <c r="A482" s="319"/>
      <c r="B482" s="361"/>
      <c r="C482" s="240" t="s">
        <v>369</v>
      </c>
      <c r="D482" s="2" t="s">
        <v>43</v>
      </c>
      <c r="E482" s="198" t="s">
        <v>684</v>
      </c>
      <c r="F482" s="2" t="s">
        <v>242</v>
      </c>
      <c r="G482" s="332"/>
      <c r="H482" s="336"/>
      <c r="I482" s="336"/>
      <c r="J482" s="209">
        <v>122.5</v>
      </c>
      <c r="K482" s="209">
        <v>122.5</v>
      </c>
      <c r="L482" s="209">
        <v>256.8</v>
      </c>
      <c r="M482" s="209">
        <v>256.8</v>
      </c>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row>
    <row r="483" spans="1:60" ht="19.5" customHeight="1">
      <c r="A483" s="319"/>
      <c r="B483" s="327"/>
      <c r="C483" s="195" t="s">
        <v>369</v>
      </c>
      <c r="D483" s="2" t="s">
        <v>43</v>
      </c>
      <c r="E483" s="198" t="s">
        <v>684</v>
      </c>
      <c r="F483" s="2" t="s">
        <v>42</v>
      </c>
      <c r="G483" s="330"/>
      <c r="H483" s="330"/>
      <c r="I483" s="330"/>
      <c r="J483" s="209">
        <v>3870.52</v>
      </c>
      <c r="K483" s="209">
        <v>3870.52</v>
      </c>
      <c r="L483" s="209">
        <v>3600</v>
      </c>
      <c r="M483" s="209">
        <v>3600</v>
      </c>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row>
    <row r="484" spans="1:60" ht="19.5" customHeight="1">
      <c r="A484" s="319"/>
      <c r="B484" s="327"/>
      <c r="C484" s="260" t="s">
        <v>369</v>
      </c>
      <c r="D484" s="2" t="s">
        <v>43</v>
      </c>
      <c r="E484" s="198" t="s">
        <v>684</v>
      </c>
      <c r="F484" s="2" t="s">
        <v>254</v>
      </c>
      <c r="G484" s="330"/>
      <c r="H484" s="330"/>
      <c r="I484" s="330"/>
      <c r="J484" s="209">
        <v>351.54</v>
      </c>
      <c r="K484" s="209">
        <v>351.54</v>
      </c>
      <c r="L484" s="209">
        <v>0</v>
      </c>
      <c r="M484" s="209">
        <v>0</v>
      </c>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row>
    <row r="485" spans="1:60" ht="23.25" customHeight="1">
      <c r="A485" s="320"/>
      <c r="B485" s="328"/>
      <c r="C485" s="240" t="s">
        <v>369</v>
      </c>
      <c r="D485" s="2" t="s">
        <v>43</v>
      </c>
      <c r="E485" s="198" t="s">
        <v>684</v>
      </c>
      <c r="F485" s="2" t="s">
        <v>40</v>
      </c>
      <c r="G485" s="315"/>
      <c r="H485" s="315"/>
      <c r="I485" s="315"/>
      <c r="J485" s="209">
        <v>1878.24</v>
      </c>
      <c r="K485" s="209">
        <v>1878.24</v>
      </c>
      <c r="L485" s="209">
        <v>1200</v>
      </c>
      <c r="M485" s="209">
        <v>1200</v>
      </c>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row>
    <row r="486" spans="1:60" ht="285">
      <c r="A486" s="78" t="s">
        <v>809</v>
      </c>
      <c r="B486" s="87" t="s">
        <v>810</v>
      </c>
      <c r="C486" s="78"/>
      <c r="D486" s="78"/>
      <c r="E486" s="78"/>
      <c r="F486" s="78"/>
      <c r="G486" s="78"/>
      <c r="H486" s="78"/>
      <c r="I486" s="78"/>
      <c r="J486" s="245">
        <f>J487</f>
        <v>606</v>
      </c>
      <c r="K486" s="245">
        <f>K487</f>
        <v>606</v>
      </c>
      <c r="L486" s="245">
        <f>L487</f>
        <v>606</v>
      </c>
      <c r="M486" s="245">
        <f>M487</f>
        <v>606</v>
      </c>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row>
    <row r="487" spans="1:60" ht="48" customHeight="1">
      <c r="A487" s="2"/>
      <c r="B487" s="144" t="s">
        <v>393</v>
      </c>
      <c r="C487" s="243"/>
      <c r="D487" s="2"/>
      <c r="E487" s="198" t="s">
        <v>51</v>
      </c>
      <c r="F487" s="2"/>
      <c r="G487" s="161"/>
      <c r="H487" s="161"/>
      <c r="I487" s="161"/>
      <c r="J487" s="209">
        <f>J488</f>
        <v>606</v>
      </c>
      <c r="K487" s="209">
        <f>K488</f>
        <v>606</v>
      </c>
      <c r="L487" s="209">
        <f>L488</f>
        <v>606</v>
      </c>
      <c r="M487" s="209">
        <f>M488</f>
        <v>606</v>
      </c>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row>
    <row r="488" spans="1:13" s="244" customFormat="1" ht="111.75" customHeight="1">
      <c r="A488" s="2"/>
      <c r="B488" s="158" t="s">
        <v>640</v>
      </c>
      <c r="C488" s="2" t="s">
        <v>367</v>
      </c>
      <c r="D488" s="2" t="s">
        <v>41</v>
      </c>
      <c r="E488" s="193" t="s">
        <v>639</v>
      </c>
      <c r="F488" s="2" t="s">
        <v>38</v>
      </c>
      <c r="G488" s="98" t="s">
        <v>723</v>
      </c>
      <c r="H488" s="1" t="s">
        <v>281</v>
      </c>
      <c r="I488" s="1" t="s">
        <v>638</v>
      </c>
      <c r="J488" s="209">
        <v>606</v>
      </c>
      <c r="K488" s="209">
        <v>606</v>
      </c>
      <c r="L488" s="209">
        <v>606</v>
      </c>
      <c r="M488" s="209">
        <v>606</v>
      </c>
    </row>
    <row r="489" spans="1:60" ht="122.25" customHeight="1">
      <c r="A489" s="78" t="s">
        <v>785</v>
      </c>
      <c r="B489" s="87" t="s">
        <v>786</v>
      </c>
      <c r="C489" s="78"/>
      <c r="D489" s="78"/>
      <c r="E489" s="78"/>
      <c r="F489" s="78"/>
      <c r="G489" s="78"/>
      <c r="H489" s="78"/>
      <c r="I489" s="78"/>
      <c r="J489" s="208">
        <f aca="true" t="shared" si="28" ref="J489:M490">J490</f>
        <v>22103.56</v>
      </c>
      <c r="K489" s="208">
        <f t="shared" si="28"/>
        <v>22103.56</v>
      </c>
      <c r="L489" s="208">
        <f t="shared" si="28"/>
        <v>13477.453</v>
      </c>
      <c r="M489" s="208">
        <f t="shared" si="28"/>
        <v>13237.994</v>
      </c>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row>
    <row r="490" spans="1:60" ht="101.25" customHeight="1">
      <c r="A490" s="233"/>
      <c r="B490" s="235" t="s">
        <v>227</v>
      </c>
      <c r="C490" s="233"/>
      <c r="D490" s="233"/>
      <c r="E490" s="233" t="s">
        <v>60</v>
      </c>
      <c r="F490" s="233"/>
      <c r="G490" s="233"/>
      <c r="H490" s="233"/>
      <c r="I490" s="233"/>
      <c r="J490" s="238">
        <f t="shared" si="28"/>
        <v>22103.56</v>
      </c>
      <c r="K490" s="238">
        <f t="shared" si="28"/>
        <v>22103.56</v>
      </c>
      <c r="L490" s="238">
        <f t="shared" si="28"/>
        <v>13477.453</v>
      </c>
      <c r="M490" s="238">
        <f t="shared" si="28"/>
        <v>13237.994</v>
      </c>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row>
    <row r="491" spans="1:60" ht="101.25" customHeight="1">
      <c r="A491" s="2"/>
      <c r="B491" s="158" t="s">
        <v>787</v>
      </c>
      <c r="C491" s="233" t="s">
        <v>369</v>
      </c>
      <c r="D491" s="2" t="s">
        <v>11</v>
      </c>
      <c r="E491" s="10" t="s">
        <v>788</v>
      </c>
      <c r="F491" s="2" t="s">
        <v>242</v>
      </c>
      <c r="G491" s="27" t="s">
        <v>789</v>
      </c>
      <c r="H491" s="2" t="s">
        <v>281</v>
      </c>
      <c r="I491" s="2" t="s">
        <v>790</v>
      </c>
      <c r="J491" s="309">
        <v>22103.56</v>
      </c>
      <c r="K491" s="309">
        <v>22103.56</v>
      </c>
      <c r="L491" s="309">
        <v>13477.453</v>
      </c>
      <c r="M491" s="309">
        <v>13237.994</v>
      </c>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row>
    <row r="492" spans="1:60" ht="71.25">
      <c r="A492" s="37" t="s">
        <v>126</v>
      </c>
      <c r="B492" s="38" t="s">
        <v>128</v>
      </c>
      <c r="C492" s="42"/>
      <c r="D492" s="37"/>
      <c r="E492" s="37"/>
      <c r="F492" s="37"/>
      <c r="G492" s="43"/>
      <c r="H492" s="42"/>
      <c r="I492" s="42"/>
      <c r="J492" s="207">
        <f>J493+J505+J500</f>
        <v>394566.109</v>
      </c>
      <c r="K492" s="207">
        <f>K493+K505+K500</f>
        <v>394566.109</v>
      </c>
      <c r="L492" s="207">
        <f>L493+L505+L500</f>
        <v>376201.00999999995</v>
      </c>
      <c r="M492" s="207">
        <f>M493+M505+M500</f>
        <v>370645.26</v>
      </c>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row>
    <row r="493" spans="1:60" ht="285">
      <c r="A493" s="78" t="s">
        <v>127</v>
      </c>
      <c r="B493" s="87" t="s">
        <v>129</v>
      </c>
      <c r="C493" s="78"/>
      <c r="D493" s="78"/>
      <c r="E493" s="78"/>
      <c r="F493" s="78"/>
      <c r="G493" s="78"/>
      <c r="H493" s="78"/>
      <c r="I493" s="78"/>
      <c r="J493" s="208">
        <f>J494</f>
        <v>208852.11206</v>
      </c>
      <c r="K493" s="208">
        <f>K494</f>
        <v>208852.11206</v>
      </c>
      <c r="L493" s="208">
        <f>L494</f>
        <v>195215.357</v>
      </c>
      <c r="M493" s="208">
        <f>M494</f>
        <v>194422.484</v>
      </c>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row>
    <row r="494" spans="1:60" ht="30">
      <c r="A494" s="106"/>
      <c r="B494" s="12" t="s">
        <v>251</v>
      </c>
      <c r="C494" s="106"/>
      <c r="D494" s="106"/>
      <c r="E494" s="106" t="s">
        <v>71</v>
      </c>
      <c r="F494" s="106"/>
      <c r="G494" s="106"/>
      <c r="H494" s="106"/>
      <c r="I494" s="106"/>
      <c r="J494" s="222">
        <f>SUM(J495:J499)</f>
        <v>208852.11206</v>
      </c>
      <c r="K494" s="304">
        <f>SUM(K495:K499)</f>
        <v>208852.11206</v>
      </c>
      <c r="L494" s="304">
        <f>SUM(L495:L499)</f>
        <v>195215.357</v>
      </c>
      <c r="M494" s="304">
        <f>SUM(M495:M499)</f>
        <v>194422.484</v>
      </c>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row>
    <row r="495" spans="1:60" ht="33" customHeight="1">
      <c r="A495" s="195"/>
      <c r="B495" s="333" t="s">
        <v>687</v>
      </c>
      <c r="C495" s="195" t="s">
        <v>369</v>
      </c>
      <c r="D495" s="195" t="s">
        <v>70</v>
      </c>
      <c r="E495" s="133" t="s">
        <v>679</v>
      </c>
      <c r="F495" s="195" t="s">
        <v>42</v>
      </c>
      <c r="G495" s="329" t="s">
        <v>924</v>
      </c>
      <c r="H495" s="331" t="s">
        <v>925</v>
      </c>
      <c r="I495" s="331" t="s">
        <v>926</v>
      </c>
      <c r="J495" s="309">
        <v>188515.53586</v>
      </c>
      <c r="K495" s="309">
        <v>188515.53586</v>
      </c>
      <c r="L495" s="309">
        <v>175217.672</v>
      </c>
      <c r="M495" s="309">
        <v>174424.799</v>
      </c>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row>
    <row r="496" spans="1:60" ht="27" customHeight="1">
      <c r="A496" s="297"/>
      <c r="B496" s="334"/>
      <c r="C496" s="297" t="s">
        <v>369</v>
      </c>
      <c r="D496" s="297" t="s">
        <v>70</v>
      </c>
      <c r="E496" s="133" t="s">
        <v>679</v>
      </c>
      <c r="F496" s="297" t="s">
        <v>254</v>
      </c>
      <c r="G496" s="332"/>
      <c r="H496" s="336"/>
      <c r="I496" s="336"/>
      <c r="J496" s="309">
        <v>5.9892</v>
      </c>
      <c r="K496" s="309">
        <v>5.9892</v>
      </c>
      <c r="L496" s="309">
        <v>0</v>
      </c>
      <c r="M496" s="309">
        <v>0</v>
      </c>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row>
    <row r="497" spans="1:60" ht="66.75" customHeight="1">
      <c r="A497" s="195"/>
      <c r="B497" s="335"/>
      <c r="C497" s="195" t="s">
        <v>366</v>
      </c>
      <c r="D497" s="195" t="s">
        <v>70</v>
      </c>
      <c r="E497" s="133" t="s">
        <v>679</v>
      </c>
      <c r="F497" s="195" t="s">
        <v>170</v>
      </c>
      <c r="G497" s="330"/>
      <c r="H497" s="330"/>
      <c r="I497" s="330"/>
      <c r="J497" s="222">
        <v>4729.22</v>
      </c>
      <c r="K497" s="308">
        <v>4729.22</v>
      </c>
      <c r="L497" s="308">
        <v>4729.22</v>
      </c>
      <c r="M497" s="308">
        <v>4729.22</v>
      </c>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row>
    <row r="498" spans="1:60" ht="101.25" customHeight="1">
      <c r="A498" s="195"/>
      <c r="B498" s="143" t="s">
        <v>688</v>
      </c>
      <c r="C498" s="195" t="s">
        <v>369</v>
      </c>
      <c r="D498" s="195" t="s">
        <v>70</v>
      </c>
      <c r="E498" s="133" t="s">
        <v>689</v>
      </c>
      <c r="F498" s="195" t="s">
        <v>42</v>
      </c>
      <c r="G498" s="315"/>
      <c r="H498" s="315"/>
      <c r="I498" s="315"/>
      <c r="J498" s="309">
        <f>18776.1-3507.635</f>
        <v>15268.464999999998</v>
      </c>
      <c r="K498" s="309">
        <f>18776.1-3507.635</f>
        <v>15268.464999999998</v>
      </c>
      <c r="L498" s="309">
        <f>18776.1-3507.635</f>
        <v>15268.464999999998</v>
      </c>
      <c r="M498" s="309">
        <f>18776.1-3507.635</f>
        <v>15268.464999999998</v>
      </c>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row>
    <row r="499" spans="1:60" ht="229.5" customHeight="1">
      <c r="A499" s="297"/>
      <c r="B499" s="143" t="s">
        <v>975</v>
      </c>
      <c r="C499" s="297" t="s">
        <v>369</v>
      </c>
      <c r="D499" s="297" t="s">
        <v>70</v>
      </c>
      <c r="E499" s="133" t="s">
        <v>976</v>
      </c>
      <c r="F499" s="297" t="s">
        <v>42</v>
      </c>
      <c r="G499" s="124" t="s">
        <v>994</v>
      </c>
      <c r="H499" s="124" t="s">
        <v>992</v>
      </c>
      <c r="I499" s="124" t="s">
        <v>993</v>
      </c>
      <c r="J499" s="309">
        <v>332.902</v>
      </c>
      <c r="K499" s="309">
        <v>332.902</v>
      </c>
      <c r="L499" s="309">
        <v>0</v>
      </c>
      <c r="M499" s="309">
        <v>0</v>
      </c>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row>
    <row r="500" spans="1:60" ht="284.25">
      <c r="A500" s="78" t="s">
        <v>922</v>
      </c>
      <c r="B500" s="226" t="s">
        <v>923</v>
      </c>
      <c r="C500" s="78"/>
      <c r="D500" s="78"/>
      <c r="E500" s="101"/>
      <c r="F500" s="78"/>
      <c r="G500" s="131"/>
      <c r="H500" s="132"/>
      <c r="I500" s="132"/>
      <c r="J500" s="208">
        <f>J501</f>
        <v>28058.20094</v>
      </c>
      <c r="K500" s="208">
        <f>K501</f>
        <v>28058.20094</v>
      </c>
      <c r="L500" s="208">
        <f>L501</f>
        <v>26962.453</v>
      </c>
      <c r="M500" s="208">
        <f>M501</f>
        <v>26907.076</v>
      </c>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row>
    <row r="501" spans="1:60" ht="30">
      <c r="A501" s="2"/>
      <c r="B501" s="12" t="s">
        <v>251</v>
      </c>
      <c r="C501" s="2"/>
      <c r="D501" s="2"/>
      <c r="E501" s="272" t="s">
        <v>71</v>
      </c>
      <c r="F501" s="2"/>
      <c r="G501" s="129"/>
      <c r="H501" s="105"/>
      <c r="I501" s="105"/>
      <c r="J501" s="209">
        <f>SUM(J502:J504)</f>
        <v>28058.20094</v>
      </c>
      <c r="K501" s="209">
        <f>SUM(K502:K504)</f>
        <v>28058.20094</v>
      </c>
      <c r="L501" s="209">
        <f>SUM(L502:L504)</f>
        <v>26962.453</v>
      </c>
      <c r="M501" s="209">
        <f>SUM(M502:M504)</f>
        <v>26907.076</v>
      </c>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row>
    <row r="502" spans="1:60" ht="117" customHeight="1">
      <c r="A502" s="272"/>
      <c r="B502" s="143" t="s">
        <v>687</v>
      </c>
      <c r="C502" s="272" t="s">
        <v>369</v>
      </c>
      <c r="D502" s="272" t="s">
        <v>70</v>
      </c>
      <c r="E502" s="133" t="s">
        <v>679</v>
      </c>
      <c r="F502" s="272" t="s">
        <v>42</v>
      </c>
      <c r="G502" s="129" t="s">
        <v>927</v>
      </c>
      <c r="H502" s="105" t="s">
        <v>928</v>
      </c>
      <c r="I502" s="105" t="s">
        <v>929</v>
      </c>
      <c r="J502" s="309">
        <v>24439.94394</v>
      </c>
      <c r="K502" s="309">
        <v>24439.94394</v>
      </c>
      <c r="L502" s="309">
        <v>23454.818</v>
      </c>
      <c r="M502" s="309">
        <v>23399.441</v>
      </c>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row>
    <row r="503" spans="1:60" ht="135.75" customHeight="1">
      <c r="A503" s="272"/>
      <c r="B503" s="143" t="s">
        <v>688</v>
      </c>
      <c r="C503" s="272" t="s">
        <v>369</v>
      </c>
      <c r="D503" s="272" t="s">
        <v>70</v>
      </c>
      <c r="E503" s="133" t="s">
        <v>689</v>
      </c>
      <c r="F503" s="272" t="s">
        <v>42</v>
      </c>
      <c r="G503" s="129" t="s">
        <v>930</v>
      </c>
      <c r="H503" s="105" t="s">
        <v>281</v>
      </c>
      <c r="I503" s="105" t="s">
        <v>931</v>
      </c>
      <c r="J503" s="309">
        <v>3507.635</v>
      </c>
      <c r="K503" s="309">
        <v>3507.635</v>
      </c>
      <c r="L503" s="309">
        <v>3507.635</v>
      </c>
      <c r="M503" s="309">
        <v>3507.635</v>
      </c>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row>
    <row r="504" spans="1:60" ht="222.75" customHeight="1">
      <c r="A504" s="303"/>
      <c r="B504" s="143" t="s">
        <v>975</v>
      </c>
      <c r="C504" s="303" t="s">
        <v>369</v>
      </c>
      <c r="D504" s="303" t="s">
        <v>70</v>
      </c>
      <c r="E504" s="133" t="s">
        <v>976</v>
      </c>
      <c r="F504" s="303" t="s">
        <v>42</v>
      </c>
      <c r="G504" s="124" t="s">
        <v>994</v>
      </c>
      <c r="H504" s="124" t="s">
        <v>992</v>
      </c>
      <c r="I504" s="124" t="s">
        <v>993</v>
      </c>
      <c r="J504" s="309">
        <v>110.622</v>
      </c>
      <c r="K504" s="309">
        <v>110.622</v>
      </c>
      <c r="L504" s="309">
        <v>0</v>
      </c>
      <c r="M504" s="309">
        <v>0</v>
      </c>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row>
    <row r="505" spans="1:60" ht="285">
      <c r="A505" s="78" t="s">
        <v>316</v>
      </c>
      <c r="B505" s="87" t="s">
        <v>364</v>
      </c>
      <c r="C505" s="78"/>
      <c r="D505" s="78"/>
      <c r="E505" s="78"/>
      <c r="F505" s="78"/>
      <c r="G505" s="78"/>
      <c r="H505" s="78"/>
      <c r="I505" s="78"/>
      <c r="J505" s="208">
        <f>J506</f>
        <v>157655.79599999997</v>
      </c>
      <c r="K505" s="208">
        <f>K506</f>
        <v>157655.79599999997</v>
      </c>
      <c r="L505" s="208">
        <f>L506</f>
        <v>154023.19999999998</v>
      </c>
      <c r="M505" s="208">
        <f>M506</f>
        <v>149315.69999999998</v>
      </c>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row>
    <row r="506" spans="1:60" ht="30">
      <c r="A506" s="106"/>
      <c r="B506" s="12" t="s">
        <v>251</v>
      </c>
      <c r="C506" s="162"/>
      <c r="D506" s="152"/>
      <c r="E506" s="152" t="s">
        <v>71</v>
      </c>
      <c r="F506" s="106"/>
      <c r="G506" s="106"/>
      <c r="H506" s="106"/>
      <c r="I506" s="106"/>
      <c r="J506" s="222">
        <f>J507+J508+J509+J510</f>
        <v>157655.79599999997</v>
      </c>
      <c r="K506" s="275">
        <f>K507+K508+K509+K510</f>
        <v>157655.79599999997</v>
      </c>
      <c r="L506" s="275">
        <f>L507+L508+L509+L510</f>
        <v>154023.19999999998</v>
      </c>
      <c r="M506" s="275">
        <f>M507+M508+M509+M510</f>
        <v>149315.69999999998</v>
      </c>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row>
    <row r="507" spans="1:60" ht="15.75">
      <c r="A507" s="274"/>
      <c r="B507" s="326" t="s">
        <v>686</v>
      </c>
      <c r="C507" s="273" t="s">
        <v>369</v>
      </c>
      <c r="D507" s="274" t="s">
        <v>72</v>
      </c>
      <c r="E507" s="133" t="s">
        <v>679</v>
      </c>
      <c r="F507" s="274" t="s">
        <v>42</v>
      </c>
      <c r="G507" s="329" t="s">
        <v>932</v>
      </c>
      <c r="H507" s="331" t="s">
        <v>933</v>
      </c>
      <c r="I507" s="331" t="s">
        <v>934</v>
      </c>
      <c r="J507" s="309">
        <v>76935.771</v>
      </c>
      <c r="K507" s="309">
        <v>76935.771</v>
      </c>
      <c r="L507" s="309">
        <v>74770.132</v>
      </c>
      <c r="M507" s="309">
        <v>72406.748</v>
      </c>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row>
    <row r="508" spans="1:60" ht="15.75" customHeight="1">
      <c r="A508" s="274"/>
      <c r="B508" s="327"/>
      <c r="C508" s="273" t="s">
        <v>369</v>
      </c>
      <c r="D508" s="274" t="s">
        <v>72</v>
      </c>
      <c r="E508" s="133" t="s">
        <v>679</v>
      </c>
      <c r="F508" s="274" t="s">
        <v>254</v>
      </c>
      <c r="G508" s="330"/>
      <c r="H508" s="330"/>
      <c r="I508" s="330"/>
      <c r="J508" s="309">
        <v>75957.295</v>
      </c>
      <c r="K508" s="309">
        <v>75957.295</v>
      </c>
      <c r="L508" s="309">
        <f>72335.917+2154.421</f>
        <v>74490.338</v>
      </c>
      <c r="M508" s="309">
        <f>69991.901+2154.321</f>
        <v>72146.222</v>
      </c>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row>
    <row r="509" spans="1:60" ht="54" customHeight="1">
      <c r="A509" s="195"/>
      <c r="B509" s="327"/>
      <c r="C509" s="195" t="s">
        <v>369</v>
      </c>
      <c r="D509" s="273" t="s">
        <v>72</v>
      </c>
      <c r="E509" s="202" t="s">
        <v>679</v>
      </c>
      <c r="F509" s="195" t="s">
        <v>40</v>
      </c>
      <c r="G509" s="330"/>
      <c r="H509" s="330"/>
      <c r="I509" s="330"/>
      <c r="J509" s="309">
        <v>861.9</v>
      </c>
      <c r="K509" s="309">
        <v>861.9</v>
      </c>
      <c r="L509" s="309">
        <v>861.9</v>
      </c>
      <c r="M509" s="309">
        <v>861.9</v>
      </c>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row>
    <row r="510" spans="1:60" ht="59.25" customHeight="1">
      <c r="A510" s="201"/>
      <c r="B510" s="328"/>
      <c r="C510" s="201" t="s">
        <v>366</v>
      </c>
      <c r="D510" s="201" t="s">
        <v>72</v>
      </c>
      <c r="E510" s="133" t="s">
        <v>679</v>
      </c>
      <c r="F510" s="201" t="s">
        <v>170</v>
      </c>
      <c r="G510" s="315"/>
      <c r="H510" s="315"/>
      <c r="I510" s="315"/>
      <c r="J510" s="222">
        <v>3900.83</v>
      </c>
      <c r="K510" s="308">
        <v>3900.83</v>
      </c>
      <c r="L510" s="308">
        <v>3900.83</v>
      </c>
      <c r="M510" s="308">
        <v>3900.83</v>
      </c>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row>
    <row r="511" spans="1:60" ht="45.75" customHeight="1">
      <c r="A511" s="37" t="s">
        <v>131</v>
      </c>
      <c r="B511" s="103" t="s">
        <v>130</v>
      </c>
      <c r="C511" s="37"/>
      <c r="D511" s="37"/>
      <c r="E511" s="37"/>
      <c r="F511" s="37"/>
      <c r="G511" s="37"/>
      <c r="H511" s="37"/>
      <c r="I511" s="37"/>
      <c r="J511" s="207">
        <v>0</v>
      </c>
      <c r="K511" s="207">
        <v>0</v>
      </c>
      <c r="L511" s="207">
        <v>12000.49749</v>
      </c>
      <c r="M511" s="207">
        <v>24343.49749</v>
      </c>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row>
    <row r="512" spans="14:60" ht="15" customHeight="1">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row>
    <row r="513" spans="2:60" ht="15.75" customHeight="1">
      <c r="B513" s="137" t="s">
        <v>0</v>
      </c>
      <c r="C513" s="32"/>
      <c r="D513" s="33"/>
      <c r="G513" s="35" t="s">
        <v>3</v>
      </c>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row>
    <row r="514" spans="3:60" ht="15" customHeight="1">
      <c r="C514" s="382" t="s">
        <v>1</v>
      </c>
      <c r="D514" s="382"/>
      <c r="G514" s="36" t="s">
        <v>2</v>
      </c>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row>
    <row r="515" spans="14:60" ht="15" customHeight="1">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row>
    <row r="516" spans="3:60" ht="15" customHeight="1">
      <c r="C516" s="34"/>
      <c r="D516" s="34"/>
      <c r="M516" s="221"/>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row>
    <row r="517" spans="1:60" ht="15.75" customHeight="1">
      <c r="A517" s="8"/>
      <c r="B517" s="381" t="s">
        <v>805</v>
      </c>
      <c r="C517" s="381"/>
      <c r="D517" s="381"/>
      <c r="M517" s="221"/>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row>
    <row r="518" spans="13:60" ht="15" customHeight="1">
      <c r="M518" s="221"/>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row>
    <row r="519" spans="13:60" ht="15" customHeight="1">
      <c r="M519" s="221"/>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row>
    <row r="520" spans="13:60" ht="15" customHeight="1">
      <c r="M520" s="221"/>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row>
    <row r="521" spans="13:60" ht="15" customHeight="1">
      <c r="M521" s="221"/>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row>
    <row r="522" spans="13:60" ht="15" customHeight="1">
      <c r="M522" s="221"/>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row>
    <row r="523" spans="13:60" ht="15" customHeight="1">
      <c r="M523" s="221"/>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row>
    <row r="524" spans="13:60" ht="15" customHeight="1">
      <c r="M524" s="221"/>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row>
    <row r="525" spans="13:60" ht="15" customHeight="1">
      <c r="M525" s="221"/>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row>
    <row r="526" spans="13:60" ht="15" customHeight="1">
      <c r="M526" s="221"/>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row>
    <row r="527" spans="13:60" ht="15" customHeight="1">
      <c r="M527" s="221"/>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row>
    <row r="528" spans="13:60" ht="15" customHeight="1">
      <c r="M528" s="221"/>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row>
    <row r="529" spans="13:60" ht="15" customHeight="1">
      <c r="M529" s="221"/>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row>
    <row r="530" spans="13:60" ht="15" customHeight="1">
      <c r="M530" s="221"/>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row>
    <row r="531" spans="13:60" ht="15" customHeight="1">
      <c r="M531" s="221"/>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row>
    <row r="532" spans="1:60" ht="15" customHeight="1">
      <c r="A532" s="8"/>
      <c r="B532" s="8"/>
      <c r="C532" s="8"/>
      <c r="D532" s="8"/>
      <c r="E532" s="8"/>
      <c r="F532" s="8"/>
      <c r="G532" s="8"/>
      <c r="H532" s="8"/>
      <c r="I532" s="8"/>
      <c r="J532" s="221"/>
      <c r="M532" s="221"/>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row>
    <row r="533" spans="1:60" ht="15" customHeight="1">
      <c r="A533" s="8"/>
      <c r="B533" s="8"/>
      <c r="C533" s="8"/>
      <c r="D533" s="8"/>
      <c r="E533" s="8"/>
      <c r="F533" s="8"/>
      <c r="G533" s="8"/>
      <c r="H533" s="8"/>
      <c r="I533" s="8"/>
      <c r="J533" s="221"/>
      <c r="M533" s="221"/>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row>
    <row r="534" spans="1:60" ht="15" customHeight="1">
      <c r="A534" s="8"/>
      <c r="B534" s="8"/>
      <c r="C534" s="8"/>
      <c r="D534" s="8"/>
      <c r="E534" s="8"/>
      <c r="F534" s="8"/>
      <c r="G534" s="8"/>
      <c r="H534" s="8"/>
      <c r="I534" s="8"/>
      <c r="J534" s="221"/>
      <c r="M534" s="221"/>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row>
    <row r="535" spans="1:60" ht="15" customHeight="1">
      <c r="A535" s="8"/>
      <c r="B535" s="8"/>
      <c r="C535" s="8"/>
      <c r="D535" s="8"/>
      <c r="E535" s="8"/>
      <c r="F535" s="8"/>
      <c r="G535" s="8"/>
      <c r="H535" s="8"/>
      <c r="I535" s="8"/>
      <c r="J535" s="221"/>
      <c r="M535" s="221"/>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row>
    <row r="536" spans="1:60" ht="15" customHeight="1">
      <c r="A536" s="8"/>
      <c r="B536" s="8"/>
      <c r="C536" s="8"/>
      <c r="D536" s="8"/>
      <c r="E536" s="8"/>
      <c r="F536" s="8"/>
      <c r="G536" s="8"/>
      <c r="H536" s="8"/>
      <c r="I536" s="8"/>
      <c r="J536" s="221"/>
      <c r="M536" s="221"/>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row>
    <row r="537" spans="1:60" ht="15" customHeight="1">
      <c r="A537" s="8"/>
      <c r="B537" s="8"/>
      <c r="C537" s="8"/>
      <c r="D537" s="8"/>
      <c r="E537" s="8"/>
      <c r="F537" s="8"/>
      <c r="G537" s="8"/>
      <c r="H537" s="8"/>
      <c r="I537" s="8"/>
      <c r="J537" s="221"/>
      <c r="M537" s="221"/>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row>
    <row r="538" spans="1:60" ht="15" customHeight="1">
      <c r="A538" s="8"/>
      <c r="B538" s="8"/>
      <c r="C538" s="8"/>
      <c r="D538" s="8"/>
      <c r="E538" s="8"/>
      <c r="F538" s="8"/>
      <c r="G538" s="8"/>
      <c r="H538" s="8"/>
      <c r="I538" s="8"/>
      <c r="J538" s="221"/>
      <c r="M538" s="221"/>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row>
    <row r="539" spans="1:60" ht="15" customHeight="1">
      <c r="A539" s="8"/>
      <c r="B539" s="8"/>
      <c r="C539" s="8"/>
      <c r="D539" s="8"/>
      <c r="E539" s="8"/>
      <c r="F539" s="8"/>
      <c r="G539" s="8"/>
      <c r="H539" s="8"/>
      <c r="I539" s="8"/>
      <c r="J539" s="221"/>
      <c r="M539" s="221"/>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row>
    <row r="540" spans="1:60" ht="15" customHeight="1">
      <c r="A540" s="8"/>
      <c r="B540" s="8"/>
      <c r="C540" s="8"/>
      <c r="D540" s="8"/>
      <c r="E540" s="8"/>
      <c r="F540" s="8"/>
      <c r="G540" s="8"/>
      <c r="H540" s="8"/>
      <c r="I540" s="8"/>
      <c r="J540" s="221"/>
      <c r="M540" s="221"/>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row>
    <row r="541" spans="1:60" ht="15" customHeight="1">
      <c r="A541" s="8"/>
      <c r="B541" s="8"/>
      <c r="C541" s="8"/>
      <c r="D541" s="8"/>
      <c r="E541" s="8"/>
      <c r="F541" s="8"/>
      <c r="G541" s="8"/>
      <c r="H541" s="8"/>
      <c r="I541" s="8"/>
      <c r="J541" s="221"/>
      <c r="M541" s="221"/>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row>
    <row r="542" spans="1:60" ht="15" customHeight="1">
      <c r="A542" s="8"/>
      <c r="B542" s="8"/>
      <c r="C542" s="8"/>
      <c r="D542" s="8"/>
      <c r="E542" s="8"/>
      <c r="F542" s="8"/>
      <c r="G542" s="8"/>
      <c r="H542" s="8"/>
      <c r="I542" s="8"/>
      <c r="J542" s="221"/>
      <c r="M542" s="221"/>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row>
    <row r="543" spans="1:60" ht="15" customHeight="1">
      <c r="A543" s="8"/>
      <c r="B543" s="8"/>
      <c r="C543" s="8"/>
      <c r="D543" s="8"/>
      <c r="E543" s="8"/>
      <c r="F543" s="8"/>
      <c r="G543" s="8"/>
      <c r="H543" s="8"/>
      <c r="I543" s="8"/>
      <c r="J543" s="221"/>
      <c r="M543" s="221"/>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row>
    <row r="544" spans="1:60" ht="15" customHeight="1">
      <c r="A544" s="8"/>
      <c r="B544" s="8"/>
      <c r="C544" s="8"/>
      <c r="D544" s="8"/>
      <c r="E544" s="8"/>
      <c r="F544" s="8"/>
      <c r="G544" s="8"/>
      <c r="H544" s="8"/>
      <c r="I544" s="8"/>
      <c r="J544" s="221"/>
      <c r="M544" s="221"/>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row>
    <row r="545" spans="1:60" ht="15" customHeight="1">
      <c r="A545" s="8"/>
      <c r="B545" s="8"/>
      <c r="C545" s="8"/>
      <c r="D545" s="8"/>
      <c r="E545" s="8"/>
      <c r="F545" s="8"/>
      <c r="G545" s="8"/>
      <c r="H545" s="8"/>
      <c r="I545" s="8"/>
      <c r="J545" s="221"/>
      <c r="M545" s="221"/>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row>
    <row r="546" spans="1:60" ht="15" customHeight="1">
      <c r="A546" s="8"/>
      <c r="B546" s="8"/>
      <c r="C546" s="8"/>
      <c r="D546" s="8"/>
      <c r="E546" s="8"/>
      <c r="F546" s="8"/>
      <c r="G546" s="8"/>
      <c r="H546" s="8"/>
      <c r="I546" s="8"/>
      <c r="J546" s="221"/>
      <c r="M546" s="221"/>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row>
    <row r="547" spans="1:60" ht="15" customHeight="1">
      <c r="A547" s="8"/>
      <c r="B547" s="8"/>
      <c r="C547" s="8"/>
      <c r="D547" s="8"/>
      <c r="E547" s="8"/>
      <c r="F547" s="8"/>
      <c r="G547" s="8"/>
      <c r="H547" s="8"/>
      <c r="I547" s="8"/>
      <c r="J547" s="221"/>
      <c r="M547" s="221"/>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row>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spans="1:60" s="22" customFormat="1" ht="15" customHeight="1">
      <c r="A562" s="14"/>
      <c r="B562" s="15"/>
      <c r="C562" s="14"/>
      <c r="D562" s="16"/>
      <c r="E562" s="16"/>
      <c r="F562" s="16"/>
      <c r="G562" s="17"/>
      <c r="H562" s="14"/>
      <c r="I562" s="14"/>
      <c r="J562" s="219"/>
      <c r="K562" s="219"/>
      <c r="L562" s="219"/>
      <c r="M562" s="220"/>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row>
    <row r="563" ht="15">
      <c r="L563" s="305"/>
    </row>
    <row r="564" ht="15">
      <c r="L564" s="305"/>
    </row>
    <row r="565" ht="15">
      <c r="K565" s="305"/>
    </row>
    <row r="566" ht="15">
      <c r="K566" s="305"/>
    </row>
    <row r="567" ht="15">
      <c r="K567" s="305"/>
    </row>
    <row r="568" ht="15">
      <c r="K568" s="305"/>
    </row>
    <row r="569" ht="15">
      <c r="K569" s="305"/>
    </row>
    <row r="570" ht="15">
      <c r="K570" s="305"/>
    </row>
    <row r="571" ht="15">
      <c r="K571" s="305"/>
    </row>
    <row r="572" ht="15">
      <c r="K572" s="305"/>
    </row>
    <row r="573" ht="15">
      <c r="K573" s="305"/>
    </row>
    <row r="574" ht="15">
      <c r="K574" s="305"/>
    </row>
    <row r="575" ht="15">
      <c r="K575" s="305"/>
    </row>
    <row r="576" ht="15">
      <c r="K576" s="305"/>
    </row>
    <row r="577" ht="15">
      <c r="K577" s="305"/>
    </row>
    <row r="578" ht="15">
      <c r="K578" s="305"/>
    </row>
    <row r="579" ht="15">
      <c r="K579" s="305"/>
    </row>
    <row r="580" ht="15">
      <c r="K580" s="305"/>
    </row>
    <row r="581" ht="15">
      <c r="K581" s="305"/>
    </row>
    <row r="582" ht="15">
      <c r="K582" s="305"/>
    </row>
    <row r="583" ht="15">
      <c r="K583" s="305"/>
    </row>
    <row r="584" ht="15">
      <c r="K584" s="305"/>
    </row>
    <row r="585" ht="15">
      <c r="K585" s="305"/>
    </row>
    <row r="586" ht="15">
      <c r="K586" s="305"/>
    </row>
    <row r="587" ht="15">
      <c r="K587" s="305"/>
    </row>
    <row r="588" ht="15">
      <c r="K588" s="305"/>
    </row>
    <row r="589" ht="15">
      <c r="K589" s="305"/>
    </row>
    <row r="590" ht="15">
      <c r="K590" s="305"/>
    </row>
    <row r="591" ht="15">
      <c r="K591" s="305"/>
    </row>
    <row r="592" ht="15">
      <c r="K592" s="305"/>
    </row>
    <row r="593" ht="15">
      <c r="K593" s="305"/>
    </row>
    <row r="594" ht="15">
      <c r="K594" s="305"/>
    </row>
    <row r="595" ht="15">
      <c r="K595" s="305"/>
    </row>
    <row r="596" ht="15">
      <c r="K596" s="305"/>
    </row>
    <row r="597" ht="15">
      <c r="K597" s="305"/>
    </row>
    <row r="598" ht="15">
      <c r="K598" s="305"/>
    </row>
    <row r="599" ht="15">
      <c r="K599" s="305"/>
    </row>
    <row r="600" ht="15">
      <c r="K600" s="305"/>
    </row>
    <row r="601" ht="15">
      <c r="K601" s="305"/>
    </row>
    <row r="602" ht="15">
      <c r="K602" s="305"/>
    </row>
    <row r="603" ht="15">
      <c r="K603" s="305"/>
    </row>
    <row r="604" ht="15">
      <c r="K604" s="305"/>
    </row>
    <row r="605" ht="15">
      <c r="K605" s="305"/>
    </row>
    <row r="606" ht="15">
      <c r="K606" s="305"/>
    </row>
    <row r="607" ht="15">
      <c r="K607" s="305"/>
    </row>
    <row r="608" ht="15">
      <c r="K608" s="305"/>
    </row>
    <row r="609" ht="15">
      <c r="K609" s="305"/>
    </row>
    <row r="610" ht="15">
      <c r="K610" s="305"/>
    </row>
    <row r="611" ht="15">
      <c r="K611" s="305"/>
    </row>
    <row r="612" ht="15">
      <c r="K612" s="305"/>
    </row>
    <row r="613" ht="15">
      <c r="K613" s="305"/>
    </row>
    <row r="614" ht="15">
      <c r="K614" s="305"/>
    </row>
    <row r="615" ht="15">
      <c r="K615" s="305"/>
    </row>
    <row r="616" ht="15">
      <c r="K616" s="305"/>
    </row>
    <row r="617" ht="15">
      <c r="K617" s="305"/>
    </row>
    <row r="618" ht="15">
      <c r="K618" s="305"/>
    </row>
    <row r="619" ht="15">
      <c r="K619" s="305"/>
    </row>
    <row r="620" ht="15">
      <c r="K620" s="305"/>
    </row>
    <row r="621" ht="15">
      <c r="K621" s="305"/>
    </row>
    <row r="622" ht="15">
      <c r="K622" s="305"/>
    </row>
    <row r="623" ht="15">
      <c r="K623" s="305"/>
    </row>
    <row r="624" ht="15">
      <c r="K624" s="305"/>
    </row>
    <row r="625" ht="15">
      <c r="K625" s="305"/>
    </row>
    <row r="626" ht="15">
      <c r="K626" s="305"/>
    </row>
    <row r="627" ht="15">
      <c r="K627" s="305"/>
    </row>
    <row r="628" ht="15">
      <c r="K628" s="305"/>
    </row>
    <row r="629" ht="15">
      <c r="K629" s="305"/>
    </row>
    <row r="630" ht="15">
      <c r="K630" s="305"/>
    </row>
    <row r="631" ht="15">
      <c r="K631" s="305"/>
    </row>
  </sheetData>
  <sheetProtection/>
  <autoFilter ref="E1:E631"/>
  <mergeCells count="303">
    <mergeCell ref="B451:B452"/>
    <mergeCell ref="B453:B454"/>
    <mergeCell ref="I394:I398"/>
    <mergeCell ref="G400:G402"/>
    <mergeCell ref="H450:H453"/>
    <mergeCell ref="G411:G412"/>
    <mergeCell ref="C394:C395"/>
    <mergeCell ref="I400:I402"/>
    <mergeCell ref="B394:B398"/>
    <mergeCell ref="B441:B442"/>
    <mergeCell ref="A451:A452"/>
    <mergeCell ref="A453:A454"/>
    <mergeCell ref="B229:B230"/>
    <mergeCell ref="H229:H230"/>
    <mergeCell ref="G259:G263"/>
    <mergeCell ref="G276:G277"/>
    <mergeCell ref="C396:C397"/>
    <mergeCell ref="G229:G230"/>
    <mergeCell ref="H259:H263"/>
    <mergeCell ref="A297:A298"/>
    <mergeCell ref="A400:A402"/>
    <mergeCell ref="C178:C180"/>
    <mergeCell ref="B297:B298"/>
    <mergeCell ref="B178:B181"/>
    <mergeCell ref="F204:F205"/>
    <mergeCell ref="G296:G298"/>
    <mergeCell ref="B283:B285"/>
    <mergeCell ref="A372:A375"/>
    <mergeCell ref="B308:B310"/>
    <mergeCell ref="A394:A398"/>
    <mergeCell ref="B276:B277"/>
    <mergeCell ref="H283:H285"/>
    <mergeCell ref="G278:G280"/>
    <mergeCell ref="B278:B279"/>
    <mergeCell ref="G248:G251"/>
    <mergeCell ref="H254:H256"/>
    <mergeCell ref="B259:B260"/>
    <mergeCell ref="H276:H277"/>
    <mergeCell ref="G254:G256"/>
    <mergeCell ref="A223:A224"/>
    <mergeCell ref="G232:G233"/>
    <mergeCell ref="G165:G168"/>
    <mergeCell ref="B121:B122"/>
    <mergeCell ref="A107:A109"/>
    <mergeCell ref="G394:G398"/>
    <mergeCell ref="A390:A393"/>
    <mergeCell ref="E394:E395"/>
    <mergeCell ref="A308:A310"/>
    <mergeCell ref="B372:B375"/>
    <mergeCell ref="A363:A364"/>
    <mergeCell ref="B321:B323"/>
    <mergeCell ref="A342:A346"/>
    <mergeCell ref="B390:B393"/>
    <mergeCell ref="G325:G327"/>
    <mergeCell ref="B366:B369"/>
    <mergeCell ref="G342:G346"/>
    <mergeCell ref="B378:B383"/>
    <mergeCell ref="G378:G383"/>
    <mergeCell ref="G321:G323"/>
    <mergeCell ref="A470:A475"/>
    <mergeCell ref="B458:B459"/>
    <mergeCell ref="H463:H464"/>
    <mergeCell ref="G329:G337"/>
    <mergeCell ref="A460:A461"/>
    <mergeCell ref="A458:A459"/>
    <mergeCell ref="F396:F397"/>
    <mergeCell ref="B363:B364"/>
    <mergeCell ref="G366:G368"/>
    <mergeCell ref="A366:A369"/>
    <mergeCell ref="H390:H393"/>
    <mergeCell ref="H394:H398"/>
    <mergeCell ref="D396:D397"/>
    <mergeCell ref="F394:F395"/>
    <mergeCell ref="H321:H323"/>
    <mergeCell ref="H363:H364"/>
    <mergeCell ref="G363:G364"/>
    <mergeCell ref="G373:G375"/>
    <mergeCell ref="M396:M397"/>
    <mergeCell ref="J394:J395"/>
    <mergeCell ref="K394:K395"/>
    <mergeCell ref="J396:J397"/>
    <mergeCell ref="M394:M395"/>
    <mergeCell ref="L396:L397"/>
    <mergeCell ref="L394:L395"/>
    <mergeCell ref="K396:K397"/>
    <mergeCell ref="H302:H303"/>
    <mergeCell ref="H248:H251"/>
    <mergeCell ref="G283:G285"/>
    <mergeCell ref="I121:I122"/>
    <mergeCell ref="H67:H75"/>
    <mergeCell ref="H123:H124"/>
    <mergeCell ref="H180:H181"/>
    <mergeCell ref="I98:I100"/>
    <mergeCell ref="I123:I124"/>
    <mergeCell ref="I276:I277"/>
    <mergeCell ref="I266:I267"/>
    <mergeCell ref="I296:I298"/>
    <mergeCell ref="I108:I109"/>
    <mergeCell ref="I125:I126"/>
    <mergeCell ref="I165:I168"/>
    <mergeCell ref="I229:I230"/>
    <mergeCell ref="I117:I118"/>
    <mergeCell ref="I259:I263"/>
    <mergeCell ref="J1:M1"/>
    <mergeCell ref="A3:M3"/>
    <mergeCell ref="J6:K6"/>
    <mergeCell ref="A5:B7"/>
    <mergeCell ref="J5:M5"/>
    <mergeCell ref="G91:G92"/>
    <mergeCell ref="G30:G41"/>
    <mergeCell ref="H30:H41"/>
    <mergeCell ref="I30:I41"/>
    <mergeCell ref="I67:I75"/>
    <mergeCell ref="I52:I53"/>
    <mergeCell ref="L6:M6"/>
    <mergeCell ref="G5:I6"/>
    <mergeCell ref="E5:E7"/>
    <mergeCell ref="G46:G47"/>
    <mergeCell ref="H46:H47"/>
    <mergeCell ref="I46:I47"/>
    <mergeCell ref="G52:G53"/>
    <mergeCell ref="C5:C7"/>
    <mergeCell ref="I15:I21"/>
    <mergeCell ref="H15:H21"/>
    <mergeCell ref="G15:G21"/>
    <mergeCell ref="I23:I26"/>
    <mergeCell ref="H23:H26"/>
    <mergeCell ref="G23:G26"/>
    <mergeCell ref="F5:F7"/>
    <mergeCell ref="D5:D7"/>
    <mergeCell ref="H52:H53"/>
    <mergeCell ref="H121:H122"/>
    <mergeCell ref="H117:H118"/>
    <mergeCell ref="G117:G118"/>
    <mergeCell ref="G108:G109"/>
    <mergeCell ref="H98:H100"/>
    <mergeCell ref="H114:H116"/>
    <mergeCell ref="G67:G75"/>
    <mergeCell ref="H91:H92"/>
    <mergeCell ref="B517:D517"/>
    <mergeCell ref="C514:D514"/>
    <mergeCell ref="G390:G393"/>
    <mergeCell ref="G302:G303"/>
    <mergeCell ref="B400:B402"/>
    <mergeCell ref="C204:C205"/>
    <mergeCell ref="E396:E397"/>
    <mergeCell ref="G307:G311"/>
    <mergeCell ref="B329:B337"/>
    <mergeCell ref="B342:B346"/>
    <mergeCell ref="A15:A16"/>
    <mergeCell ref="B15:B16"/>
    <mergeCell ref="A23:A24"/>
    <mergeCell ref="B36:B38"/>
    <mergeCell ref="B68:B71"/>
    <mergeCell ref="G163:G164"/>
    <mergeCell ref="G98:G100"/>
    <mergeCell ref="G114:G116"/>
    <mergeCell ref="G121:G122"/>
    <mergeCell ref="B23:B24"/>
    <mergeCell ref="A36:A38"/>
    <mergeCell ref="B39:B40"/>
    <mergeCell ref="B204:B205"/>
    <mergeCell ref="J204:J205"/>
    <mergeCell ref="C202:C203"/>
    <mergeCell ref="E202:E203"/>
    <mergeCell ref="B30:B31"/>
    <mergeCell ref="B114:B115"/>
    <mergeCell ref="H108:H109"/>
    <mergeCell ref="A204:A205"/>
    <mergeCell ref="A202:A203"/>
    <mergeCell ref="B202:B203"/>
    <mergeCell ref="D204:D205"/>
    <mergeCell ref="D178:D180"/>
    <mergeCell ref="G123:G124"/>
    <mergeCell ref="G125:G126"/>
    <mergeCell ref="F178:F180"/>
    <mergeCell ref="A114:A115"/>
    <mergeCell ref="B107:B109"/>
    <mergeCell ref="B33:B34"/>
    <mergeCell ref="B117:B118"/>
    <mergeCell ref="F202:F203"/>
    <mergeCell ref="I91:I92"/>
    <mergeCell ref="B72:B75"/>
    <mergeCell ref="H165:H168"/>
    <mergeCell ref="H163:H164"/>
    <mergeCell ref="I114:I116"/>
    <mergeCell ref="K202:K203"/>
    <mergeCell ref="I163:I164"/>
    <mergeCell ref="D202:D203"/>
    <mergeCell ref="E178:E180"/>
    <mergeCell ref="A125:A126"/>
    <mergeCell ref="B125:B126"/>
    <mergeCell ref="H125:H126"/>
    <mergeCell ref="G180:G181"/>
    <mergeCell ref="L204:L205"/>
    <mergeCell ref="H219:H220"/>
    <mergeCell ref="G219:G220"/>
    <mergeCell ref="K204:K205"/>
    <mergeCell ref="A68:A71"/>
    <mergeCell ref="A72:A75"/>
    <mergeCell ref="K178:K180"/>
    <mergeCell ref="L178:L180"/>
    <mergeCell ref="I180:I181"/>
    <mergeCell ref="I232:I233"/>
    <mergeCell ref="M178:M180"/>
    <mergeCell ref="L202:L203"/>
    <mergeCell ref="J202:J203"/>
    <mergeCell ref="I248:I251"/>
    <mergeCell ref="I254:I256"/>
    <mergeCell ref="M204:M205"/>
    <mergeCell ref="I206:I207"/>
    <mergeCell ref="M202:M203"/>
    <mergeCell ref="J178:J180"/>
    <mergeCell ref="I313:I314"/>
    <mergeCell ref="H278:H280"/>
    <mergeCell ref="H308:H310"/>
    <mergeCell ref="I342:I346"/>
    <mergeCell ref="I325:I327"/>
    <mergeCell ref="I307:I311"/>
    <mergeCell ref="I338:I341"/>
    <mergeCell ref="I329:I337"/>
    <mergeCell ref="H325:H327"/>
    <mergeCell ref="I302:I303"/>
    <mergeCell ref="I460:I461"/>
    <mergeCell ref="I283:I285"/>
    <mergeCell ref="I373:I375"/>
    <mergeCell ref="I366:I368"/>
    <mergeCell ref="H366:H368"/>
    <mergeCell ref="H373:H375"/>
    <mergeCell ref="H296:H298"/>
    <mergeCell ref="H378:H383"/>
    <mergeCell ref="I378:I383"/>
    <mergeCell ref="I390:I393"/>
    <mergeCell ref="G266:G267"/>
    <mergeCell ref="B470:B475"/>
    <mergeCell ref="G470:G475"/>
    <mergeCell ref="H470:H475"/>
    <mergeCell ref="B480:B485"/>
    <mergeCell ref="H400:H402"/>
    <mergeCell ref="B340:B341"/>
    <mergeCell ref="G338:G341"/>
    <mergeCell ref="H338:H341"/>
    <mergeCell ref="H329:H337"/>
    <mergeCell ref="H239:H240"/>
    <mergeCell ref="G239:G240"/>
    <mergeCell ref="D394:D395"/>
    <mergeCell ref="I223:I224"/>
    <mergeCell ref="H138:H140"/>
    <mergeCell ref="G209:G210"/>
    <mergeCell ref="H197:H198"/>
    <mergeCell ref="G138:G140"/>
    <mergeCell ref="I209:I210"/>
    <mergeCell ref="H206:H207"/>
    <mergeCell ref="G223:G224"/>
    <mergeCell ref="G206:G207"/>
    <mergeCell ref="I321:I323"/>
    <mergeCell ref="H209:H210"/>
    <mergeCell ref="I138:I140"/>
    <mergeCell ref="A178:A181"/>
    <mergeCell ref="I197:I198"/>
    <mergeCell ref="G197:G198"/>
    <mergeCell ref="I239:I240"/>
    <mergeCell ref="H232:H233"/>
    <mergeCell ref="B239:B240"/>
    <mergeCell ref="E204:E205"/>
    <mergeCell ref="I495:I498"/>
    <mergeCell ref="G458:G459"/>
    <mergeCell ref="I480:I485"/>
    <mergeCell ref="B123:B124"/>
    <mergeCell ref="I363:I364"/>
    <mergeCell ref="I278:I280"/>
    <mergeCell ref="H313:H314"/>
    <mergeCell ref="H266:H267"/>
    <mergeCell ref="H460:H461"/>
    <mergeCell ref="G450:G453"/>
    <mergeCell ref="G480:G485"/>
    <mergeCell ref="B411:B412"/>
    <mergeCell ref="I470:I475"/>
    <mergeCell ref="G460:G461"/>
    <mergeCell ref="B463:B464"/>
    <mergeCell ref="G463:G464"/>
    <mergeCell ref="H458:H459"/>
    <mergeCell ref="H480:H485"/>
    <mergeCell ref="I458:I459"/>
    <mergeCell ref="I450:I453"/>
    <mergeCell ref="B507:B510"/>
    <mergeCell ref="G507:G510"/>
    <mergeCell ref="H507:H510"/>
    <mergeCell ref="I507:I510"/>
    <mergeCell ref="G495:G498"/>
    <mergeCell ref="B495:B497"/>
    <mergeCell ref="H495:H498"/>
    <mergeCell ref="I463:I464"/>
    <mergeCell ref="G441:G442"/>
    <mergeCell ref="H441:H442"/>
    <mergeCell ref="I441:I442"/>
    <mergeCell ref="I219:I220"/>
    <mergeCell ref="A480:A485"/>
    <mergeCell ref="B219:B220"/>
    <mergeCell ref="H223:H224"/>
    <mergeCell ref="H411:H412"/>
    <mergeCell ref="I411:I412"/>
    <mergeCell ref="G313:G314"/>
  </mergeCells>
  <printOptions/>
  <pageMargins left="0.3937007874015748" right="0" top="0.1968503937007874" bottom="0" header="0.4724409448818898" footer="0.4330708661417323"/>
  <pageSetup fitToHeight="25" horizontalDpi="600" verticalDpi="600" orientation="landscape" paperSize="9" scale="46" r:id="rId1"/>
  <rowBreaks count="2" manualBreakCount="2">
    <brk id="499" max="12" man="1"/>
    <brk id="50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fau-19</cp:lastModifiedBy>
  <cp:lastPrinted>2023-01-23T11:38:45Z</cp:lastPrinted>
  <dcterms:created xsi:type="dcterms:W3CDTF">2007-10-09T08:43:44Z</dcterms:created>
  <dcterms:modified xsi:type="dcterms:W3CDTF">2023-02-16T03:35:41Z</dcterms:modified>
  <cp:category/>
  <cp:version/>
  <cp:contentType/>
  <cp:contentStatus/>
</cp:coreProperties>
</file>